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26835" windowHeight="13200" activeTab="0"/>
  </bookViews>
  <sheets>
    <sheet name="eelarve täitmine" sheetId="1" r:id="rId1"/>
    <sheet name="investeeringud" sheetId="2" r:id="rId2"/>
  </sheets>
  <definedNames/>
  <calcPr fullCalcOnLoad="1"/>
</workbook>
</file>

<file path=xl/comments2.xml><?xml version="1.0" encoding="utf-8"?>
<comments xmlns="http://schemas.openxmlformats.org/spreadsheetml/2006/main">
  <authors>
    <author>Tartu Linnavalitsus</author>
  </authors>
  <commentList>
    <comment ref="G111" authorId="0">
      <text>
        <r>
          <rPr>
            <sz val="9"/>
            <rFont val="Tahoma"/>
            <family val="2"/>
          </rPr>
          <t xml:space="preserve">Vesiehitus OÜ kuluosa rek.)
</t>
        </r>
      </text>
    </comment>
    <comment ref="G116" authorId="0">
      <text>
        <r>
          <rPr>
            <sz val="9"/>
            <rFont val="Tahoma"/>
            <family val="2"/>
          </rPr>
          <t xml:space="preserve">Vesiehitus OÜ kuluosa rek.
</t>
        </r>
      </text>
    </comment>
  </commentList>
</comments>
</file>

<file path=xl/sharedStrings.xml><?xml version="1.0" encoding="utf-8"?>
<sst xmlns="http://schemas.openxmlformats.org/spreadsheetml/2006/main" count="716" uniqueCount="373">
  <si>
    <t>TARTU LINNA 2015. a EELARVE INVESTEERIMISTEGEVUSE KULUD</t>
  </si>
  <si>
    <t>Investeerimistegevuse kulud  kokku</t>
  </si>
  <si>
    <t>Põhivara soetus</t>
  </si>
  <si>
    <t>PVS</t>
  </si>
  <si>
    <t>sh toetustest*</t>
  </si>
  <si>
    <t>Põhivara soetuseks antav sihtfinantseerimine</t>
  </si>
  <si>
    <t>ASF</t>
  </si>
  <si>
    <t>Finantskulud</t>
  </si>
  <si>
    <t>FK</t>
  </si>
  <si>
    <t>Investeerimistegevuse kulud objektide ja finantseerimisallikate lõikes</t>
  </si>
  <si>
    <t>Üldised valitsussektori teenused</t>
  </si>
  <si>
    <r>
      <t xml:space="preserve">   </t>
    </r>
    <r>
      <rPr>
        <b/>
        <i/>
        <sz val="11"/>
        <rFont val="Times New Roman"/>
        <family val="1"/>
      </rPr>
      <t>Valitsussektori võla teenindamine</t>
    </r>
  </si>
  <si>
    <t>RO</t>
  </si>
  <si>
    <t>Linna laenude teenindamine</t>
  </si>
  <si>
    <t>HO</t>
  </si>
  <si>
    <t>Riigi Kinnisvara ASile (H. Masingu Kooli ja J. Poska Gümnaasiumi) intressid</t>
  </si>
  <si>
    <t>KO</t>
  </si>
  <si>
    <t>Raamatukogu väikebussi liisingu intressid</t>
  </si>
  <si>
    <t>Maarja kooli bussi liisingu intressid</t>
  </si>
  <si>
    <r>
      <t xml:space="preserve">   </t>
    </r>
    <r>
      <rPr>
        <b/>
        <i/>
        <sz val="11"/>
        <rFont val="Times New Roman"/>
        <family val="1"/>
      </rPr>
      <t>Linnavalitsus</t>
    </r>
  </si>
  <si>
    <t>LVO</t>
  </si>
  <si>
    <t>Küüni 5 ametiriuumide remont</t>
  </si>
  <si>
    <t>LK</t>
  </si>
  <si>
    <t>Linnavalitsuse IT vahendite soetus</t>
  </si>
  <si>
    <r>
      <t xml:space="preserve">   </t>
    </r>
    <r>
      <rPr>
        <b/>
        <i/>
        <sz val="11"/>
        <rFont val="Times New Roman"/>
        <family val="1"/>
      </rPr>
      <t>Ühistegevuskulud</t>
    </r>
  </si>
  <si>
    <t>Majandus</t>
  </si>
  <si>
    <t>LMO</t>
  </si>
  <si>
    <t xml:space="preserve">  Linna teed, tänavad ja sillad</t>
  </si>
  <si>
    <t>Tänavate rekonstrueerimine, ehitus</t>
  </si>
  <si>
    <t>Tartu idapoolse ringtee projekteerimine ja ehitamine</t>
  </si>
  <si>
    <t>Savi tn ehitus ja järelvalve</t>
  </si>
  <si>
    <t>Roosi tn koos kergliiklusteedega (Muuseumi tee- Jänese)</t>
  </si>
  <si>
    <t>Nooruse, Teaduse, Sanatooriumi tn rekonstrueerimine koos kergliiklustee ehitusega</t>
  </si>
  <si>
    <t>Pargi tn rekonstrueerimine</t>
  </si>
  <si>
    <t>Vaksali esise väljaku koos parkla ning kergliiklusteedega projekteerimine ja ehitus</t>
  </si>
  <si>
    <t>Tähe-Lootuse-Pargi tn ristmiku rekonstrueerimine</t>
  </si>
  <si>
    <t>Projekteerimised, sh:</t>
  </si>
  <si>
    <t>Roosi tn (Puiestee - Narva mnt)</t>
  </si>
  <si>
    <t>Avalik parkla (Oeconomikumi ja Konsumi vaheline ala)</t>
  </si>
  <si>
    <t>Kruusakattega tänavate asfalteerimine</t>
  </si>
  <si>
    <t>Ülekatted ja pindamised</t>
  </si>
  <si>
    <t xml:space="preserve">   Võru tn (Aardla-linna piir)</t>
  </si>
  <si>
    <r>
      <t xml:space="preserve">  </t>
    </r>
    <r>
      <rPr>
        <sz val="11"/>
        <rFont val="Times New Roman"/>
        <family val="1"/>
      </rPr>
      <t xml:space="preserve"> Mõisavahe (Kalda tee-Anne jalakäijate kiir)</t>
    </r>
  </si>
  <si>
    <t xml:space="preserve">   Soinaste tn (Riia-Aardla)</t>
  </si>
  <si>
    <t xml:space="preserve">   Roopa tn</t>
  </si>
  <si>
    <t xml:space="preserve">   Ropka tee (Tähe ring-Turu)</t>
  </si>
  <si>
    <t>Jalg- ja jalgrattateed, sh:</t>
  </si>
  <si>
    <t>Hipodroomi tn kergliiklustee</t>
  </si>
  <si>
    <t>Riia tn kergliiklustee (politseimaja vastas) Raja tn-Riia ringini</t>
  </si>
  <si>
    <t>kõnniteede äärekivide kõrguste korrigeerimine (kaasav eelarve)</t>
  </si>
  <si>
    <t>projekteerimised, sh:</t>
  </si>
  <si>
    <t>Vaksali tn ühendus EMÜ-ga (Näituse tn - EMÜ-Waldorfkool)</t>
  </si>
  <si>
    <t>jalgtee Võidu sillale</t>
  </si>
  <si>
    <t xml:space="preserve">Rõõmu tee kõnnitee </t>
  </si>
  <si>
    <t>Sadevee liitumistasu</t>
  </si>
  <si>
    <t>Infrastruktuuri arenduste kompensatsioonid</t>
  </si>
  <si>
    <t>Oksa ja Ladva tänavad</t>
  </si>
  <si>
    <t>Koostöö võrguarendajatega</t>
  </si>
  <si>
    <r>
      <t xml:space="preserve">   </t>
    </r>
    <r>
      <rPr>
        <b/>
        <i/>
        <sz val="11"/>
        <rFont val="Times New Roman"/>
        <family val="1"/>
      </rPr>
      <t>Transpordikorraldus</t>
    </r>
  </si>
  <si>
    <t>Projekt “Avaliku bussiliinivedu teostatavates bussides reaalaja infosüsteem"</t>
  </si>
  <si>
    <r>
      <t xml:space="preserve">   </t>
    </r>
    <r>
      <rPr>
        <b/>
        <i/>
        <sz val="11"/>
        <rFont val="Times New Roman"/>
        <family val="1"/>
      </rPr>
      <t>Üldmajanduslikud arendusprojektid</t>
    </r>
  </si>
  <si>
    <t>EO</t>
  </si>
  <si>
    <t xml:space="preserve">Toetus SA-le Tartu Teaduspark infrastruktuuri arendamiseks </t>
  </si>
  <si>
    <t xml:space="preserve">   Veetransport</t>
  </si>
  <si>
    <t xml:space="preserve">Sõpruse Silla paadisadam </t>
  </si>
  <si>
    <t xml:space="preserve">  Muu majandus</t>
  </si>
  <si>
    <t>Ettekirjutuste täitmiseks linna hoonetes</t>
  </si>
  <si>
    <t>Korteriühistute remondifond</t>
  </si>
  <si>
    <t>Vaksali 14 remont</t>
  </si>
  <si>
    <t>Keskkonnakaitse</t>
  </si>
  <si>
    <r>
      <t xml:space="preserve">   </t>
    </r>
    <r>
      <rPr>
        <b/>
        <i/>
        <sz val="11"/>
        <rFont val="Times New Roman"/>
        <family val="1"/>
      </rPr>
      <t>Jäätmekäitlus</t>
    </r>
  </si>
  <si>
    <t xml:space="preserve">Sügavkogumismahutite soetamine </t>
  </si>
  <si>
    <t xml:space="preserve">   Veemajandus</t>
  </si>
  <si>
    <t>Sadeveetorustiku ja hüdrantide rajamine</t>
  </si>
  <si>
    <r>
      <t xml:space="preserve">   </t>
    </r>
    <r>
      <rPr>
        <b/>
        <i/>
        <sz val="11"/>
        <rFont val="Times New Roman"/>
        <family val="1"/>
      </rPr>
      <t>Haljastus</t>
    </r>
  </si>
  <si>
    <t>Emajõe kallaste elavdamine</t>
  </si>
  <si>
    <t>Riia 12 purskkaevu, treppide ja tugimüüri remont</t>
  </si>
  <si>
    <t>Välitrenažöörid spordiradadele</t>
  </si>
  <si>
    <t>Jaamamõisa linnaosa mänguväljakud</t>
  </si>
  <si>
    <t>Emajõe kaldapiirete uuendamine (kaasav eelarve)</t>
  </si>
  <si>
    <t>Raadi Dendropargi rekonstrueerimine</t>
  </si>
  <si>
    <t>Raadi dendropargi rekonstrueerimise projekt</t>
  </si>
  <si>
    <t>Elamu ja kommunaalmajandus</t>
  </si>
  <si>
    <t xml:space="preserve">   Elamumajanduse arendamine</t>
  </si>
  <si>
    <t xml:space="preserve">Linnale kuuluvate korterite remont </t>
  </si>
  <si>
    <t xml:space="preserve">Linnale kuuluvate elamute remont </t>
  </si>
  <si>
    <t xml:space="preserve">   Tänavavalgustus</t>
  </si>
  <si>
    <t>Projekt " Efektiivne ja keskkonnasõbralik tänavavalgustus I"</t>
  </si>
  <si>
    <t>Tänavavalgustuse haldusprogrammi väljavahetamine</t>
  </si>
  <si>
    <t xml:space="preserve">Rüütli tn kaablite rekonstrueerimine </t>
  </si>
  <si>
    <t xml:space="preserve">  Muu elamu- ja kommunaaltegevus</t>
  </si>
  <si>
    <t>Pauluse leinamaja põranda vahetus</t>
  </si>
  <si>
    <t>Kalmistu 22 hoone puitosa renoveerimine</t>
  </si>
  <si>
    <t>Vabaaeg ja kultuur</t>
  </si>
  <si>
    <t xml:space="preserve">   Spordibaasid</t>
  </si>
  <si>
    <t>EMÜ spordihoone ehitamise toetus</t>
  </si>
  <si>
    <t>TÜ spordihoone renoveerimise toetus</t>
  </si>
  <si>
    <t>Annelinna kunstmuruväljak</t>
  </si>
  <si>
    <t xml:space="preserve">SAle Tartu Sport, sh: </t>
  </si>
  <si>
    <t>spordiinventari soetuseks</t>
  </si>
  <si>
    <t>Veski spordibaasi renoveerimine</t>
  </si>
  <si>
    <r>
      <t xml:space="preserve">   </t>
    </r>
    <r>
      <rPr>
        <b/>
        <i/>
        <sz val="11"/>
        <rFont val="Times New Roman"/>
        <family val="1"/>
      </rPr>
      <t>Puhkepargid</t>
    </r>
  </si>
  <si>
    <t>Sihtasutusele Tähtvere Puhkepark, sh:</t>
  </si>
  <si>
    <t>Dendropargi spordiradade arenduseks</t>
  </si>
  <si>
    <r>
      <t xml:space="preserve">   </t>
    </r>
    <r>
      <rPr>
        <b/>
        <i/>
        <sz val="11"/>
        <rFont val="Times New Roman"/>
        <family val="1"/>
      </rPr>
      <t>Laste huvikoolid</t>
    </r>
  </si>
  <si>
    <t>II Muusikakool (Kaunase pst 23)</t>
  </si>
  <si>
    <t>Pillide ost</t>
  </si>
  <si>
    <t xml:space="preserve">   Laste huvialamajad ja keskused</t>
  </si>
  <si>
    <t>MTÜ-le Spordiklubi Rahinge Tartu Skatehall  halli sisu (rularamp'id) korrashoiuks/uuendamiseks</t>
  </si>
  <si>
    <t xml:space="preserve">   Muinsuskaitse</t>
  </si>
  <si>
    <t xml:space="preserve">Toetus SAle Tartu Pauluse Kirik </t>
  </si>
  <si>
    <t>Memoriaali rajamine Pauluse kalmistule</t>
  </si>
  <si>
    <t>AEO</t>
  </si>
  <si>
    <t>Toetus Eesti Apostlik Õigeusu Kirikule</t>
  </si>
  <si>
    <t xml:space="preserve">Toetus EELK Tartu Peetri Kogudusele </t>
  </si>
  <si>
    <t>Memoriaali projekteerimine Pauluse kalmistule</t>
  </si>
  <si>
    <t>Restaureerimise toetused</t>
  </si>
  <si>
    <t>Haridus</t>
  </si>
  <si>
    <t xml:space="preserve">   Lasteaiad (09110)</t>
  </si>
  <si>
    <t>Lasteaedade rajamine</t>
  </si>
  <si>
    <t>Lasteaedade rekonstrueerimine, sh:</t>
  </si>
  <si>
    <t>Kesklinna Lastekeskus (Akadeemia 2)</t>
  </si>
  <si>
    <t xml:space="preserve">   Põhikoolid (09212)</t>
  </si>
  <si>
    <t>Põhikoolide rekonstrueerimine, sh:</t>
  </si>
  <si>
    <t>Hansa Kool (Anne 63)</t>
  </si>
  <si>
    <t>Karlova Kool (Lina 2)</t>
  </si>
  <si>
    <t>Forseliuse Kool (Tähe 103)</t>
  </si>
  <si>
    <t xml:space="preserve">Tamme Kool (Tamme pst 24a) </t>
  </si>
  <si>
    <t>Kesklinna Kool (Kroonuaia 7)</t>
  </si>
  <si>
    <t xml:space="preserve">    Gümnaasiumid (09213)</t>
  </si>
  <si>
    <t>Annelinna Gümnaasium (Kaunase pst 68)</t>
  </si>
  <si>
    <t>Masingu Kool</t>
  </si>
  <si>
    <r>
      <t xml:space="preserve">   </t>
    </r>
    <r>
      <rPr>
        <b/>
        <i/>
        <sz val="11"/>
        <rFont val="Times New Roman"/>
        <family val="1"/>
      </rPr>
      <t>Kutseõppeasutused (09222)</t>
    </r>
  </si>
  <si>
    <t>Kutsehariduskeskus hooned</t>
  </si>
  <si>
    <t xml:space="preserve">   Muu haridus (09800)</t>
  </si>
  <si>
    <t>Ettekirjutiste täitmine</t>
  </si>
  <si>
    <t>Koolide spordiväljakud</t>
  </si>
  <si>
    <t>Haridusasutuste rekonstrueerimistööde projekteerimised</t>
  </si>
  <si>
    <t xml:space="preserve"> Projekt Tuluke </t>
  </si>
  <si>
    <t>Sotsiaalne kaitse</t>
  </si>
  <si>
    <r>
      <t xml:space="preserve">   </t>
    </r>
    <r>
      <rPr>
        <b/>
        <i/>
        <sz val="11"/>
        <rFont val="Times New Roman"/>
        <family val="1"/>
      </rPr>
      <t>Eakate hoolekande asutused</t>
    </r>
  </si>
  <si>
    <t>SO</t>
  </si>
  <si>
    <t xml:space="preserve">   Laste ja noorte hoolekande asutused</t>
  </si>
  <si>
    <t>Mäe kodu (Mäe 33)</t>
  </si>
  <si>
    <t>Laste Turvakodu (Tiigi 55)</t>
  </si>
  <si>
    <t xml:space="preserve">   Muu sotsiaalsete riskirühmade kaitse, sh:</t>
  </si>
  <si>
    <t xml:space="preserve">OÜ-le Anne Saun sotsiaalabikeskuse rajamiseks (Anne 44) </t>
  </si>
  <si>
    <t>*põhivara soetus toetustest</t>
  </si>
  <si>
    <t>Eelarve täitmine</t>
  </si>
  <si>
    <t>Esialgne</t>
  </si>
  <si>
    <t>Täpsustatud</t>
  </si>
  <si>
    <t>Eelarve</t>
  </si>
  <si>
    <t>Täitmise %</t>
  </si>
  <si>
    <t>Tegevusala ja investeerimisobjekt</t>
  </si>
  <si>
    <t>Eelarve täitmise aruanne</t>
  </si>
  <si>
    <t>Tartu Linnavalitsus</t>
  </si>
  <si>
    <t>seisuga:</t>
  </si>
  <si>
    <t xml:space="preserve">Eelarve </t>
  </si>
  <si>
    <t>Täitmine</t>
  </si>
  <si>
    <t>%</t>
  </si>
  <si>
    <t>kasv</t>
  </si>
  <si>
    <t>Klassifikaator</t>
  </si>
  <si>
    <t>Kirje nimetus</t>
  </si>
  <si>
    <t>täitmine</t>
  </si>
  <si>
    <t>eurodes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</si>
  <si>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</si>
  <si>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</si>
  <si>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</si>
  <si>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</si>
  <si>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</si>
  <si>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</si>
  <si>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</si>
  <si>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</si>
  <si>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</si>
  <si>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</si>
  <si>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</si>
  <si>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</si>
  <si>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</si>
  <si>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</si>
  <si>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</si>
  <si>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</si>
  <si>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</si>
  <si>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</si>
  <si>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Varude müük</t>
  </si>
  <si>
    <t>x</t>
  </si>
  <si>
    <t>382500, 38252</t>
  </si>
  <si>
    <t>Kaevandamisõiguse tasu</t>
  </si>
  <si>
    <t>Laekumine vee erikasutusest</t>
  </si>
  <si>
    <t>Saastetasud ja keskkonnale tekitatud kahju hüvitis</t>
  </si>
  <si>
    <t>3880, 3888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</si>
  <si>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</si>
  <si>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</si>
  <si>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</si>
  <si>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</si>
  <si>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</si>
  <si>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Personalikulud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</si>
  <si>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</si>
  <si>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</si>
  <si>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</si>
  <si>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</si>
  <si>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</si>
  <si>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</si>
  <si>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</si>
  <si>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</si>
  <si>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</si>
  <si>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</si>
  <si>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</si>
  <si>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</si>
  <si>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</si>
  <si>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</si>
  <si>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</si>
  <si>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</si>
  <si>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</si>
  <si>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</si>
  <si>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</si>
  <si>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</si>
  <si>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</si>
  <si>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</si>
  <si>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</si>
  <si>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</si>
  <si>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</si>
  <si>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</si>
  <si>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</si>
  <si>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</si>
  <si>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</si>
  <si>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</si>
  <si>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</si>
  <si>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03</t>
  </si>
  <si>
    <t>Avalik kord ja julgeolek</t>
  </si>
  <si>
    <t>04</t>
  </si>
  <si>
    <t>05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</si>
  <si>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</si>
  <si>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</si>
  <si>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</si>
  <si>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</si>
  <si>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</si>
  <si>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</si>
  <si>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</si>
  <si>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10</t>
  </si>
  <si>
    <t>Investeerimistegevuse kulud TEGEVUSALATI</t>
  </si>
  <si>
    <t>Arhitektuuri ja ehituse osak.arhiiviruumide remont</t>
  </si>
  <si>
    <t xml:space="preserve">Kaasav eelarve esialgselt RO-s, edaspidi LMO-s  </t>
  </si>
  <si>
    <t>Avalik kord</t>
  </si>
  <si>
    <t xml:space="preserve">   Muu avalik kord</t>
  </si>
  <si>
    <t>Toetus Lõuna Prefektuurile turvakaamera ostuks</t>
  </si>
  <si>
    <t>Kesk-Kaare tn rekonstrueerimine</t>
  </si>
  <si>
    <t>Turu tn sõidutee ehitus</t>
  </si>
  <si>
    <t>Lunini tn parendused</t>
  </si>
  <si>
    <t>Aardla tn FI bussipeatuse juures busside ümberpöörde koha rajamine</t>
  </si>
  <si>
    <t xml:space="preserve">     Kaarsilla remondi projekt koos tänavavalgustusega</t>
  </si>
  <si>
    <t xml:space="preserve">     Aardla-Soinaste-Raudtee ristmik</t>
  </si>
  <si>
    <t xml:space="preserve">   Sõpruse silla peale-ja mahasõitude taastusremont</t>
  </si>
  <si>
    <t xml:space="preserve">   Riia (Ülikooli-Pepleri)</t>
  </si>
  <si>
    <t xml:space="preserve"> Turu tn kergliiklustee projekteerimine ja ehitamine </t>
  </si>
  <si>
    <t xml:space="preserve"> Kreutzwaldi tn kergliiklustee projekteerimine ja ehitamine</t>
  </si>
  <si>
    <t>Suur-Kaar tn (Raudteetn-Tamme kool) kergliiklustee</t>
  </si>
  <si>
    <t>Turu tänavale 2 ohutussaare ehitamine</t>
  </si>
  <si>
    <t xml:space="preserve">Rattaparklate rajamine </t>
  </si>
  <si>
    <t>Atlantise ujuvkai puitosa remont</t>
  </si>
  <si>
    <r>
      <t xml:space="preserve">Sildade rekonstrueerimine </t>
    </r>
    <r>
      <rPr>
        <sz val="11"/>
        <rFont val="Times New Roman"/>
        <family val="1"/>
      </rPr>
      <t>(Võidu sild)</t>
    </r>
  </si>
  <si>
    <t>Riia-Pepleri-Väike-Tähe ristmiku valgusfoori rekonstrueerimine</t>
  </si>
  <si>
    <t>Haljasalade arendamise projekteerimine</t>
  </si>
  <si>
    <t>Marja tn mänguväljaku korrastamine</t>
  </si>
  <si>
    <t>Vanemuise pargi korrastamine</t>
  </si>
  <si>
    <t>Saare tn pargiala korrastamine</t>
  </si>
  <si>
    <t>Mäe tn treppide valgustamine</t>
  </si>
  <si>
    <t>Ohtlike tänavavalgustusmastide vahetus</t>
  </si>
  <si>
    <t>Ropkapargi mängu-ja disgolfiväljaku valgustuse korrastamine</t>
  </si>
  <si>
    <t>Raadi ja Rahumäe kalmistute aedade remont</t>
  </si>
  <si>
    <t>Vanausuliste kalmistu Roosi tn värava remont</t>
  </si>
  <si>
    <t>Turu 8 spordihoone veetorustiku rekonstrueerimine</t>
  </si>
  <si>
    <t>Sõudebaasi juurdeehituse toetus</t>
  </si>
  <si>
    <t>Anne Noortekeskus (uus 56) akende vahetus</t>
  </si>
  <si>
    <t xml:space="preserve">   Raamatukogud</t>
  </si>
  <si>
    <t>SA Tartu Maarja Kirik hoone rekonstr.tõööde projekteerimine</t>
  </si>
  <si>
    <t>Tartu Salemi Baptistikoguduse kiriku fassaadi remont</t>
  </si>
  <si>
    <t>SA Jaani Kirik peaportaali ehisviilu rekonstrueerimine</t>
  </si>
  <si>
    <t>Tartu Juudi kogukonnale kalmistu piirdeaia paranduseks</t>
  </si>
  <si>
    <t>Kalmistu Telleri kabeli rekonstr.projekteerimine</t>
  </si>
  <si>
    <t>Kalmistu Telleri kabel</t>
  </si>
  <si>
    <t xml:space="preserve">   Teatrid</t>
  </si>
  <si>
    <t>OÜ Emajõe Suveteater Karlova teatrimaja renoveerimine</t>
  </si>
  <si>
    <t xml:space="preserve">   Muu vabaaeg ja kultuur</t>
  </si>
  <si>
    <t>Kalevi 13 fassaadi viimistlus</t>
  </si>
  <si>
    <t>lasteaedade köökide sisustamine</t>
  </si>
  <si>
    <t>lasteaed Triinu ja Taavi (Kaunasepst 67) ruumide rekonstrueerimine</t>
  </si>
  <si>
    <t>Annelinna Gümnaasiumi parkla</t>
  </si>
  <si>
    <t>Masingu Kool (Riia 10)</t>
  </si>
  <si>
    <t>Tartu Waldorfkooli piirdeaia ehitus</t>
  </si>
  <si>
    <t>Kutsehariduskeskus  masinad, seadme, infotehn.</t>
  </si>
  <si>
    <t>Haridusobjektide territooriumite korrastamine</t>
  </si>
  <si>
    <t>Rattaparklate rajamine koolidele</t>
  </si>
  <si>
    <t xml:space="preserve">   Puuetega inimeste sotsiaalhoolekandeasutused</t>
  </si>
  <si>
    <t>Tartu Vaimse Tervise Hooldekeskuse (Nõlvaku 12) II etapi ehituse eskiisprojekt</t>
  </si>
  <si>
    <t>Ujula</t>
  </si>
  <si>
    <t xml:space="preserve">Marja </t>
  </si>
  <si>
    <t>Elulõnga</t>
  </si>
  <si>
    <t>Kodukolde</t>
  </si>
  <si>
    <t>Sanatooriumi</t>
  </si>
  <si>
    <t>Aardla-Raudtee-Soinaste ristmik</t>
  </si>
  <si>
    <t>Õnne</t>
  </si>
  <si>
    <t>Kabeli</t>
  </si>
  <si>
    <t>Vabaduse pst 4 WC</t>
  </si>
  <si>
    <t>Turu 8 spordihoone 2 dussiruumi remont</t>
  </si>
  <si>
    <t>A.LeCoq Spordimaja 6 dussiruumi remont</t>
  </si>
  <si>
    <t>K.J.Petersoni Gümnaasiumi aula põranda remont</t>
  </si>
  <si>
    <t>Koidutähe</t>
  </si>
  <si>
    <t xml:space="preserve">   Vabriku tn </t>
  </si>
  <si>
    <t xml:space="preserve">   Kaunase pst</t>
  </si>
  <si>
    <t>Soola,Turu, Aleksandri tn ristmikud ja kergliiklustee</t>
  </si>
  <si>
    <t>Väike-Turu,soola ja Turu tn  sademeveetorustiku ehitamine</t>
  </si>
  <si>
    <t>Soola tn restkaevu ja soola -Aleksandri ristmiku torustike ehitus</t>
  </si>
  <si>
    <t>Turu tn (Riia-Soola)</t>
  </si>
  <si>
    <t>Tamme pst</t>
  </si>
  <si>
    <t>MTÜ Tartu Rebase paadisadama toetus</t>
  </si>
  <si>
    <t>Emajõe kaldapealsele plastist aluse paigaldus</t>
  </si>
  <si>
    <t>Emajõe purskkaevu elektritoite uuring</t>
  </si>
  <si>
    <t xml:space="preserve">Lasteaedade mänguväljakute korrashoid </t>
  </si>
  <si>
    <t>Lasteaedade sisekliima tagamine</t>
  </si>
  <si>
    <t>Kutsehariduskeskus (Põllu 11) parkla ja platside  rajamine</t>
  </si>
  <si>
    <t>Kutsehariduskeskuse projekti sildfinantseerimine</t>
  </si>
  <si>
    <t>Tamme pst rekonstrueerimine vahemikus Aardla-Pirni</t>
  </si>
  <si>
    <t xml:space="preserve">   Lammi</t>
  </si>
  <si>
    <t xml:space="preserve">   Turu 8 roheala le kergliiklustee rajamine</t>
  </si>
  <si>
    <t xml:space="preserve">   Rõõmu tee kergliiklustee ehitamine</t>
  </si>
  <si>
    <t xml:space="preserve">Lunini, Ümera, Ehitajate </t>
  </si>
  <si>
    <t>Jaama tn</t>
  </si>
  <si>
    <t>Vikerkaare tn</t>
  </si>
  <si>
    <t>Soola-Kalevi ristmiku, Soola lõigus Kalev-Turu ja Kalevi tn ehitiste omanikujärelvalve</t>
  </si>
  <si>
    <t xml:space="preserve">    Liikluskorraldus</t>
  </si>
  <si>
    <t>Parkimisautomaatide rahakastid</t>
  </si>
  <si>
    <t>Toetus Tartu Loomemajanduskeskuse Antoniuse õuele</t>
  </si>
  <si>
    <t>Toomemäe pingid</t>
  </si>
  <si>
    <t>Vaba-Tähe ja Sõbra-Tähe ülekäiguradade valgustamine</t>
  </si>
  <si>
    <t>Puiestee kalmistu Jaani kabeli jahutusseadme ostuks</t>
  </si>
  <si>
    <t>Puiduhakkuri soetuseks asutusele Kalmistu</t>
  </si>
  <si>
    <t>Avalike välitualettide projekteerimine</t>
  </si>
  <si>
    <t xml:space="preserve">MTÜ Rütmika võimlemisvaiba soetuse   toetus </t>
  </si>
  <si>
    <t>MTÜ Jalgpallikool Tammeka Tartu Sepa staadioni renoveerimiseks</t>
  </si>
  <si>
    <t xml:space="preserve">traktori soetamiseks Annelinna kunstmuruväljak </t>
  </si>
  <si>
    <t>Tamme staadionile inventari soetuseks</t>
  </si>
  <si>
    <t xml:space="preserve">   toetus Annemõisa 6 jalgpalliväljaku olmehoone rekonstrueerimiseks</t>
  </si>
  <si>
    <t>O.Lutsu nim.Linnaraamatikogu (Kompanii 3/5) lugejaala laiendamine</t>
  </si>
  <si>
    <t>.</t>
  </si>
  <si>
    <t>koolihoone Nooruse 9</t>
  </si>
  <si>
    <t>Hooldekodule majandus- ja hooldusinventari soetuseks</t>
  </si>
  <si>
    <t>Hooldekodu väikebussi soetuseks</t>
  </si>
  <si>
    <t>detsember</t>
  </si>
  <si>
    <t>sh detsember</t>
  </si>
  <si>
    <t>Aardla-Raudtee-Soinaste ristmiku  ehitus</t>
  </si>
  <si>
    <t xml:space="preserve">     Ülikooli tn</t>
  </si>
  <si>
    <t>P.Põllu pargi teede ja valgustuse remont</t>
  </si>
  <si>
    <t xml:space="preserve">P.Põllu pargi pingid </t>
  </si>
  <si>
    <t>Baeri-Näituse-Ilmatsalu</t>
  </si>
  <si>
    <t xml:space="preserve">   Turu jalakäijate sild-Annelinn_Nõlvaku tee</t>
  </si>
  <si>
    <t>Kroonuaia sild-Aruküla tee</t>
  </si>
  <si>
    <t>Kreutzwaldi tn</t>
  </si>
  <si>
    <t>Vaksali-Näituse tn ristmiku liikluslahenduse projekteerimine</t>
  </si>
  <si>
    <t>Elva</t>
  </si>
  <si>
    <t>Busside depoo elektriliitumise osamaks</t>
  </si>
  <si>
    <t>ratastraktori soetamiseks</t>
  </si>
  <si>
    <t>rajatraktori soetamiseks</t>
  </si>
  <si>
    <t>II Muusikakool pianiino soetus</t>
  </si>
  <si>
    <t>Lasteaedade õppevahendid</t>
  </si>
  <si>
    <t>lasteaed Sass (Aleksandri 10)</t>
  </si>
  <si>
    <t xml:space="preserve">lasteaed Krõll (Anne 67)  </t>
  </si>
  <si>
    <t>lasteaed Mõmmik (Mõisavahe 32) avatäidete vahetus</t>
  </si>
  <si>
    <t>lasteaed Rukkilill( Sepa 18)</t>
  </si>
  <si>
    <t>lasteaed Hellik (Aardla 13)</t>
  </si>
  <si>
    <t>lasteaed Kivike (Kivi 44)</t>
  </si>
  <si>
    <t>lasteaed Karoliine (Kesk 6)</t>
  </si>
  <si>
    <t>lasteaed Midrimaa (Vanemuise 28)</t>
  </si>
  <si>
    <t>lasteaed Pääsupesa (Sõpruse pst 12) õueala rekonstrueerimine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</si>
</sst>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2"/>
      <name val="Times New Roman"/>
      <family val="1"/>
    </font>
    <font>
      <sz val="11"/>
      <color indexed="57"/>
      <name val="Times New Roman"/>
      <family val="1"/>
    </font>
    <font>
      <sz val="9"/>
      <color indexed="57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0000FF"/>
      <name val="Times New Roman"/>
      <family val="1"/>
    </font>
    <font>
      <sz val="11"/>
      <color theme="6" tint="-0.24997000396251678"/>
      <name val="Times New Roman"/>
      <family val="1"/>
    </font>
    <font>
      <sz val="9"/>
      <color theme="6"/>
      <name val="Times New Roman"/>
      <family val="1"/>
    </font>
    <font>
      <sz val="11"/>
      <color theme="6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thin"/>
    </border>
    <border>
      <left style="medium"/>
      <right/>
      <top style="medium"/>
      <bottom style="medium"/>
    </border>
    <border>
      <left style="hair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/>
      <right/>
      <top style="thin"/>
      <bottom/>
    </border>
    <border>
      <left style="hair"/>
      <right/>
      <top/>
      <bottom style="medium"/>
    </border>
    <border>
      <left style="thin"/>
      <right style="medium"/>
      <top style="thin"/>
      <bottom style="medium"/>
    </border>
    <border>
      <left style="hair"/>
      <right style="medium"/>
      <top/>
      <bottom style="medium"/>
    </border>
    <border>
      <left style="hair"/>
      <right/>
      <top/>
      <bottom style="thin"/>
    </border>
    <border>
      <left style="thin"/>
      <right style="medium"/>
      <top/>
      <bottom style="thin"/>
    </border>
    <border>
      <left style="hair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hair"/>
      <right style="thin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medium"/>
      <bottom/>
    </border>
    <border>
      <left/>
      <right style="medium"/>
      <top style="medium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/>
      <right/>
      <top style="medium"/>
      <bottom/>
    </border>
    <border>
      <left style="hair"/>
      <right style="hair"/>
      <top style="hair"/>
      <bottom>
        <color indexed="63"/>
      </bottom>
    </border>
    <border>
      <left style="thin"/>
      <right/>
      <top style="medium"/>
      <bottom/>
    </border>
    <border>
      <left style="hair"/>
      <right style="thin"/>
      <top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3" applyNumberFormat="0" applyAlignment="0" applyProtection="0"/>
    <xf numFmtId="0" fontId="52" fillId="0" borderId="4" applyNumberFormat="0" applyFill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5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0" borderId="9" applyNumberFormat="0" applyAlignment="0" applyProtection="0"/>
  </cellStyleXfs>
  <cellXfs count="332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1" xfId="304" applyFont="1" applyBorder="1" applyAlignment="1">
      <alignment horizontal="left" wrapText="1"/>
      <protection/>
    </xf>
    <xf numFmtId="0" fontId="2" fillId="2" borderId="11" xfId="304" applyFont="1" applyFill="1" applyBorder="1" applyAlignment="1">
      <alignment horizontal="left" wrapText="1"/>
      <protection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1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0" xfId="305" applyFont="1" applyAlignment="1">
      <alignment vertical="center"/>
      <protection/>
    </xf>
    <xf numFmtId="0" fontId="14" fillId="0" borderId="0" xfId="305" applyFont="1" applyFill="1" applyAlignment="1" applyProtection="1">
      <alignment vertical="center"/>
      <protection locked="0"/>
    </xf>
    <xf numFmtId="0" fontId="7" fillId="0" borderId="0" xfId="305" applyFont="1" applyAlignment="1" applyProtection="1">
      <alignment vertical="center"/>
      <protection locked="0"/>
    </xf>
    <xf numFmtId="4" fontId="15" fillId="0" borderId="0" xfId="305" applyNumberFormat="1" applyFont="1" applyBorder="1" applyAlignment="1" applyProtection="1">
      <alignment vertical="center"/>
      <protection locked="0"/>
    </xf>
    <xf numFmtId="0" fontId="7" fillId="0" borderId="0" xfId="305" applyFont="1" applyAlignment="1">
      <alignment vertical="center"/>
      <protection/>
    </xf>
    <xf numFmtId="0" fontId="17" fillId="0" borderId="15" xfId="308" applyFont="1" applyFill="1" applyBorder="1" applyAlignment="1" applyProtection="1">
      <alignment horizontal="left" vertical="center"/>
      <protection locked="0"/>
    </xf>
    <xf numFmtId="0" fontId="18" fillId="0" borderId="16" xfId="308" applyFont="1" applyFill="1" applyBorder="1" applyAlignment="1" applyProtection="1">
      <alignment horizontal="right" vertical="center"/>
      <protection locked="0"/>
    </xf>
    <xf numFmtId="14" fontId="61" fillId="0" borderId="16" xfId="308" applyNumberFormat="1" applyFont="1" applyFill="1" applyBorder="1" applyAlignment="1" applyProtection="1">
      <alignment horizontal="left" vertical="center"/>
      <protection locked="0"/>
    </xf>
    <xf numFmtId="0" fontId="7" fillId="0" borderId="17" xfId="305" applyFont="1" applyBorder="1" applyAlignment="1">
      <alignment horizontal="center" vertical="center"/>
      <protection/>
    </xf>
    <xf numFmtId="0" fontId="4" fillId="24" borderId="18" xfId="305" applyFont="1" applyFill="1" applyBorder="1" applyAlignment="1">
      <alignment horizontal="left" vertical="center"/>
      <protection/>
    </xf>
    <xf numFmtId="0" fontId="4" fillId="24" borderId="19" xfId="305" applyFont="1" applyFill="1" applyBorder="1" applyAlignment="1">
      <alignment horizontal="left" vertical="center"/>
      <protection/>
    </xf>
    <xf numFmtId="0" fontId="20" fillId="24" borderId="19" xfId="308" applyFont="1" applyFill="1" applyBorder="1" applyAlignment="1">
      <alignment vertical="center"/>
      <protection/>
    </xf>
    <xf numFmtId="3" fontId="21" fillId="24" borderId="18" xfId="308" applyNumberFormat="1" applyFont="1" applyFill="1" applyBorder="1" applyAlignment="1" applyProtection="1">
      <alignment vertical="center"/>
      <protection/>
    </xf>
    <xf numFmtId="0" fontId="17" fillId="0" borderId="20" xfId="308" applyFont="1" applyFill="1" applyBorder="1" applyAlignment="1">
      <alignment horizontal="left" vertical="center"/>
      <protection/>
    </xf>
    <xf numFmtId="0" fontId="17" fillId="0" borderId="0" xfId="308" applyFont="1" applyFill="1" applyBorder="1" applyAlignment="1">
      <alignment horizontal="left" vertical="center"/>
      <protection/>
    </xf>
    <xf numFmtId="0" fontId="5" fillId="0" borderId="0" xfId="308" applyFont="1" applyFill="1" applyBorder="1" applyAlignment="1">
      <alignment vertical="center"/>
      <protection/>
    </xf>
    <xf numFmtId="3" fontId="22" fillId="0" borderId="21" xfId="308" applyNumberFormat="1" applyFont="1" applyFill="1" applyBorder="1" applyAlignment="1" applyProtection="1">
      <alignment vertical="center"/>
      <protection locked="0"/>
    </xf>
    <xf numFmtId="166" fontId="22" fillId="0" borderId="17" xfId="308" applyNumberFormat="1" applyFont="1" applyFill="1" applyBorder="1" applyAlignment="1" applyProtection="1">
      <alignment vertical="center"/>
      <protection locked="0"/>
    </xf>
    <xf numFmtId="3" fontId="22" fillId="0" borderId="20" xfId="308" applyNumberFormat="1" applyFont="1" applyFill="1" applyBorder="1" applyAlignment="1" applyProtection="1">
      <alignment vertical="center"/>
      <protection locked="0"/>
    </xf>
    <xf numFmtId="0" fontId="5" fillId="0" borderId="0" xfId="305" applyFont="1" applyFill="1" applyBorder="1" applyAlignment="1">
      <alignment vertical="center"/>
      <protection/>
    </xf>
    <xf numFmtId="0" fontId="4" fillId="24" borderId="22" xfId="308" applyFont="1" applyFill="1" applyBorder="1" applyAlignment="1">
      <alignment horizontal="left" vertical="center"/>
      <protection/>
    </xf>
    <xf numFmtId="0" fontId="4" fillId="24" borderId="23" xfId="308" applyFont="1" applyFill="1" applyBorder="1" applyAlignment="1">
      <alignment horizontal="left" vertical="center"/>
      <protection/>
    </xf>
    <xf numFmtId="0" fontId="20" fillId="24" borderId="23" xfId="308" applyFont="1" applyFill="1" applyBorder="1" applyAlignment="1">
      <alignment vertical="center"/>
      <protection/>
    </xf>
    <xf numFmtId="3" fontId="21" fillId="24" borderId="22" xfId="308" applyNumberFormat="1" applyFont="1" applyFill="1" applyBorder="1" applyAlignment="1" applyProtection="1">
      <alignment vertical="center"/>
      <protection/>
    </xf>
    <xf numFmtId="9" fontId="21" fillId="24" borderId="24" xfId="308" applyNumberFormat="1" applyFont="1" applyFill="1" applyBorder="1" applyAlignment="1" applyProtection="1">
      <alignment vertical="center"/>
      <protection/>
    </xf>
    <xf numFmtId="166" fontId="21" fillId="24" borderId="24" xfId="308" applyNumberFormat="1" applyFont="1" applyFill="1" applyBorder="1" applyAlignment="1" applyProtection="1">
      <alignment vertical="center"/>
      <protection/>
    </xf>
    <xf numFmtId="3" fontId="21" fillId="24" borderId="25" xfId="308" applyNumberFormat="1" applyFont="1" applyFill="1" applyBorder="1" applyAlignment="1" applyProtection="1">
      <alignment vertical="center"/>
      <protection/>
    </xf>
    <xf numFmtId="0" fontId="5" fillId="0" borderId="20" xfId="308" applyFont="1" applyFill="1" applyBorder="1" applyAlignment="1">
      <alignment horizontal="left" vertical="center"/>
      <protection/>
    </xf>
    <xf numFmtId="0" fontId="5" fillId="0" borderId="0" xfId="308" applyFont="1" applyFill="1" applyBorder="1" applyAlignment="1">
      <alignment horizontal="left" vertical="center"/>
      <protection/>
    </xf>
    <xf numFmtId="0" fontId="17" fillId="0" borderId="0" xfId="308" applyFont="1" applyFill="1" applyBorder="1" applyAlignment="1">
      <alignment vertical="center"/>
      <protection/>
    </xf>
    <xf numFmtId="3" fontId="22" fillId="0" borderId="20" xfId="308" applyNumberFormat="1" applyFont="1" applyFill="1" applyBorder="1" applyAlignment="1" applyProtection="1">
      <alignment vertical="center"/>
      <protection/>
    </xf>
    <xf numFmtId="166" fontId="22" fillId="0" borderId="17" xfId="308" applyNumberFormat="1" applyFont="1" applyFill="1" applyBorder="1" applyAlignment="1" applyProtection="1">
      <alignment horizontal="right" vertical="center"/>
      <protection locked="0"/>
    </xf>
    <xf numFmtId="166" fontId="22" fillId="0" borderId="17" xfId="308" applyNumberFormat="1" applyFont="1" applyFill="1" applyBorder="1" applyAlignment="1" applyProtection="1">
      <alignment vertical="center"/>
      <protection/>
    </xf>
    <xf numFmtId="3" fontId="21" fillId="33" borderId="26" xfId="308" applyNumberFormat="1" applyFont="1" applyFill="1" applyBorder="1" applyAlignment="1" applyProtection="1">
      <alignment vertical="center"/>
      <protection/>
    </xf>
    <xf numFmtId="3" fontId="21" fillId="33" borderId="27" xfId="308" applyNumberFormat="1" applyFont="1" applyFill="1" applyBorder="1" applyAlignment="1" applyProtection="1">
      <alignment vertical="center"/>
      <protection/>
    </xf>
    <xf numFmtId="3" fontId="21" fillId="24" borderId="15" xfId="308" applyNumberFormat="1" applyFont="1" applyFill="1" applyBorder="1" applyAlignment="1" applyProtection="1">
      <alignment vertical="center"/>
      <protection/>
    </xf>
    <xf numFmtId="0" fontId="17" fillId="34" borderId="20" xfId="308" applyFont="1" applyFill="1" applyBorder="1" applyAlignment="1">
      <alignment horizontal="left" vertical="center"/>
      <protection/>
    </xf>
    <xf numFmtId="0" fontId="17" fillId="34" borderId="0" xfId="308" applyFont="1" applyFill="1" applyBorder="1" applyAlignment="1">
      <alignment horizontal="left" vertical="center"/>
      <protection/>
    </xf>
    <xf numFmtId="0" fontId="5" fillId="34" borderId="0" xfId="308" applyFont="1" applyFill="1" applyBorder="1" applyAlignment="1">
      <alignment vertical="center"/>
      <protection/>
    </xf>
    <xf numFmtId="3" fontId="22" fillId="34" borderId="20" xfId="308" applyNumberFormat="1" applyFont="1" applyFill="1" applyBorder="1" applyAlignment="1" applyProtection="1">
      <alignment vertical="center"/>
      <protection locked="0"/>
    </xf>
    <xf numFmtId="166" fontId="22" fillId="34" borderId="17" xfId="308" applyNumberFormat="1" applyFont="1" applyFill="1" applyBorder="1" applyAlignment="1" applyProtection="1">
      <alignment vertical="center"/>
      <protection locked="0"/>
    </xf>
    <xf numFmtId="0" fontId="17" fillId="0" borderId="28" xfId="308" applyFont="1" applyFill="1" applyBorder="1" applyAlignment="1">
      <alignment horizontal="left" vertical="center"/>
      <protection/>
    </xf>
    <xf numFmtId="0" fontId="17" fillId="0" borderId="29" xfId="308" applyFont="1" applyFill="1" applyBorder="1" applyAlignment="1">
      <alignment horizontal="left" vertical="center"/>
      <protection/>
    </xf>
    <xf numFmtId="0" fontId="5" fillId="0" borderId="29" xfId="308" applyFont="1" applyFill="1" applyBorder="1" applyAlignment="1">
      <alignment vertical="center"/>
      <protection/>
    </xf>
    <xf numFmtId="166" fontId="17" fillId="0" borderId="17" xfId="305" applyNumberFormat="1" applyFont="1" applyFill="1" applyBorder="1" applyAlignment="1">
      <alignment vertical="center"/>
      <protection/>
    </xf>
    <xf numFmtId="0" fontId="20" fillId="35" borderId="28" xfId="305" applyFont="1" applyFill="1" applyBorder="1" applyAlignment="1">
      <alignment horizontal="left" vertical="center"/>
      <protection/>
    </xf>
    <xf numFmtId="0" fontId="20" fillId="35" borderId="29" xfId="305" applyFont="1" applyFill="1" applyBorder="1" applyAlignment="1">
      <alignment horizontal="left" vertical="center"/>
      <protection/>
    </xf>
    <xf numFmtId="0" fontId="17" fillId="35" borderId="29" xfId="305" applyFont="1" applyFill="1" applyBorder="1" applyAlignment="1">
      <alignment vertical="center"/>
      <protection/>
    </xf>
    <xf numFmtId="3" fontId="20" fillId="35" borderId="26" xfId="305" applyNumberFormat="1" applyFont="1" applyFill="1" applyBorder="1" applyAlignment="1">
      <alignment vertical="center"/>
      <protection/>
    </xf>
    <xf numFmtId="0" fontId="20" fillId="33" borderId="26" xfId="305" applyFont="1" applyFill="1" applyBorder="1" applyAlignment="1">
      <alignment horizontal="left" vertical="center"/>
      <protection/>
    </xf>
    <xf numFmtId="0" fontId="20" fillId="33" borderId="30" xfId="305" applyFont="1" applyFill="1" applyBorder="1" applyAlignment="1">
      <alignment horizontal="left" vertical="center"/>
      <protection/>
    </xf>
    <xf numFmtId="0" fontId="17" fillId="33" borderId="30" xfId="305" applyFont="1" applyFill="1" applyBorder="1" applyAlignment="1">
      <alignment vertical="center"/>
      <protection/>
    </xf>
    <xf numFmtId="3" fontId="20" fillId="33" borderId="26" xfId="305" applyNumberFormat="1" applyFont="1" applyFill="1" applyBorder="1" applyAlignment="1">
      <alignment vertical="center"/>
      <protection/>
    </xf>
    <xf numFmtId="3" fontId="20" fillId="33" borderId="27" xfId="305" applyNumberFormat="1" applyFont="1" applyFill="1" applyBorder="1" applyAlignment="1">
      <alignment vertical="center"/>
      <protection/>
    </xf>
    <xf numFmtId="0" fontId="7" fillId="34" borderId="0" xfId="308" applyFont="1" applyFill="1" applyBorder="1" applyAlignment="1">
      <alignment horizontal="left" vertical="center"/>
      <protection/>
    </xf>
    <xf numFmtId="0" fontId="17" fillId="0" borderId="20" xfId="305" applyFont="1" applyFill="1" applyBorder="1" applyAlignment="1">
      <alignment horizontal="left" vertical="center"/>
      <protection/>
    </xf>
    <xf numFmtId="0" fontId="17" fillId="0" borderId="0" xfId="305" applyFont="1" applyFill="1" applyBorder="1" applyAlignment="1">
      <alignment horizontal="left" vertical="center"/>
      <protection/>
    </xf>
    <xf numFmtId="0" fontId="17" fillId="6" borderId="26" xfId="305" applyFont="1" applyFill="1" applyBorder="1" applyAlignment="1">
      <alignment horizontal="left" vertical="center"/>
      <protection/>
    </xf>
    <xf numFmtId="0" fontId="20" fillId="35" borderId="30" xfId="308" applyFont="1" applyFill="1" applyBorder="1" applyAlignment="1">
      <alignment horizontal="left" vertical="center"/>
      <protection/>
    </xf>
    <xf numFmtId="0" fontId="17" fillId="35" borderId="30" xfId="308" applyFont="1" applyFill="1" applyBorder="1" applyAlignment="1">
      <alignment vertical="center"/>
      <protection/>
    </xf>
    <xf numFmtId="3" fontId="20" fillId="35" borderId="27" xfId="305" applyNumberFormat="1" applyFont="1" applyFill="1" applyBorder="1" applyAlignment="1">
      <alignment vertical="center"/>
      <protection/>
    </xf>
    <xf numFmtId="0" fontId="17" fillId="33" borderId="26" xfId="305" applyFont="1" applyFill="1" applyBorder="1" applyAlignment="1">
      <alignment horizontal="left" vertical="center"/>
      <protection/>
    </xf>
    <xf numFmtId="49" fontId="17" fillId="0" borderId="31" xfId="308" applyNumberFormat="1" applyFont="1" applyFill="1" applyBorder="1" applyAlignment="1">
      <alignment horizontal="left" vertical="center"/>
      <protection/>
    </xf>
    <xf numFmtId="49" fontId="17" fillId="0" borderId="32" xfId="308" applyNumberFormat="1" applyFont="1" applyFill="1" applyBorder="1" applyAlignment="1">
      <alignment horizontal="left" vertical="center"/>
      <protection/>
    </xf>
    <xf numFmtId="49" fontId="17" fillId="34" borderId="20" xfId="308" applyNumberFormat="1" applyFont="1" applyFill="1" applyBorder="1" applyAlignment="1">
      <alignment horizontal="left" vertical="center"/>
      <protection/>
    </xf>
    <xf numFmtId="49" fontId="17" fillId="34" borderId="0" xfId="308" applyNumberFormat="1" applyFont="1" applyFill="1" applyBorder="1" applyAlignment="1">
      <alignment horizontal="left" vertical="center"/>
      <protection/>
    </xf>
    <xf numFmtId="0" fontId="5" fillId="34" borderId="0" xfId="308" applyFont="1" applyFill="1" applyBorder="1" applyAlignment="1">
      <alignment horizontal="left" vertical="center"/>
      <protection/>
    </xf>
    <xf numFmtId="166" fontId="22" fillId="34" borderId="17" xfId="308" applyNumberFormat="1" applyFont="1" applyFill="1" applyBorder="1" applyAlignment="1" applyProtection="1">
      <alignment horizontal="right" vertical="center"/>
      <protection locked="0"/>
    </xf>
    <xf numFmtId="49" fontId="17" fillId="0" borderId="33" xfId="308" applyNumberFormat="1" applyFont="1" applyFill="1" applyBorder="1" applyAlignment="1">
      <alignment horizontal="left" vertical="center"/>
      <protection/>
    </xf>
    <xf numFmtId="49" fontId="17" fillId="0" borderId="34" xfId="308" applyNumberFormat="1" applyFont="1" applyFill="1" applyBorder="1" applyAlignment="1">
      <alignment horizontal="left" vertical="center"/>
      <protection/>
    </xf>
    <xf numFmtId="49" fontId="17" fillId="34" borderId="29" xfId="308" applyNumberFormat="1" applyFont="1" applyFill="1" applyBorder="1" applyAlignment="1">
      <alignment horizontal="left" vertical="center"/>
      <protection/>
    </xf>
    <xf numFmtId="0" fontId="20" fillId="33" borderId="30" xfId="308" applyFont="1" applyFill="1" applyBorder="1" applyAlignment="1">
      <alignment horizontal="left" vertical="center"/>
      <protection/>
    </xf>
    <xf numFmtId="0" fontId="17" fillId="33" borderId="30" xfId="308" applyFont="1" applyFill="1" applyBorder="1" applyAlignment="1">
      <alignment vertical="center"/>
      <protection/>
    </xf>
    <xf numFmtId="3" fontId="20" fillId="33" borderId="26" xfId="308" applyNumberFormat="1" applyFont="1" applyFill="1" applyBorder="1" applyAlignment="1">
      <alignment horizontal="right" vertical="center"/>
      <protection/>
    </xf>
    <xf numFmtId="0" fontId="17" fillId="0" borderId="26" xfId="305" applyFont="1" applyFill="1" applyBorder="1" applyAlignment="1">
      <alignment horizontal="left" vertical="center"/>
      <protection/>
    </xf>
    <xf numFmtId="0" fontId="17" fillId="0" borderId="30" xfId="305" applyFont="1" applyFill="1" applyBorder="1" applyAlignment="1">
      <alignment horizontal="left" vertical="center"/>
      <protection/>
    </xf>
    <xf numFmtId="0" fontId="17" fillId="0" borderId="30" xfId="305" applyFont="1" applyFill="1" applyBorder="1" applyAlignment="1">
      <alignment vertical="center"/>
      <protection/>
    </xf>
    <xf numFmtId="3" fontId="17" fillId="0" borderId="26" xfId="305" applyNumberFormat="1" applyFont="1" applyFill="1" applyBorder="1" applyAlignment="1">
      <alignment vertical="center"/>
      <protection/>
    </xf>
    <xf numFmtId="0" fontId="17" fillId="36" borderId="35" xfId="305" applyFont="1" applyFill="1" applyBorder="1" applyAlignment="1">
      <alignment horizontal="left" vertical="center"/>
      <protection/>
    </xf>
    <xf numFmtId="3" fontId="21" fillId="36" borderId="20" xfId="308" applyNumberFormat="1" applyFont="1" applyFill="1" applyBorder="1" applyAlignment="1" applyProtection="1">
      <alignment vertical="center"/>
      <protection/>
    </xf>
    <xf numFmtId="49" fontId="17" fillId="24" borderId="21" xfId="308" applyNumberFormat="1" applyFont="1" applyFill="1" applyBorder="1" applyAlignment="1">
      <alignment horizontal="left" vertical="center"/>
      <protection/>
    </xf>
    <xf numFmtId="0" fontId="5" fillId="24" borderId="36" xfId="308" applyFont="1" applyFill="1" applyBorder="1" applyAlignment="1">
      <alignment horizontal="left" vertical="center"/>
      <protection/>
    </xf>
    <xf numFmtId="0" fontId="5" fillId="24" borderId="36" xfId="308" applyFont="1" applyFill="1" applyBorder="1" applyAlignment="1">
      <alignment vertical="center"/>
      <protection/>
    </xf>
    <xf numFmtId="3" fontId="22" fillId="24" borderId="20" xfId="305" applyNumberFormat="1" applyFont="1" applyFill="1" applyBorder="1" applyAlignment="1" applyProtection="1">
      <alignment vertical="center"/>
      <protection/>
    </xf>
    <xf numFmtId="166" fontId="22" fillId="24" borderId="17" xfId="305" applyNumberFormat="1" applyFont="1" applyFill="1" applyBorder="1" applyAlignment="1" applyProtection="1">
      <alignment vertical="center"/>
      <protection/>
    </xf>
    <xf numFmtId="49" fontId="17" fillId="24" borderId="20" xfId="308" applyNumberFormat="1" applyFont="1" applyFill="1" applyBorder="1" applyAlignment="1">
      <alignment horizontal="left" vertical="center"/>
      <protection/>
    </xf>
    <xf numFmtId="0" fontId="5" fillId="24" borderId="0" xfId="308" applyFont="1" applyFill="1" applyBorder="1" applyAlignment="1">
      <alignment horizontal="left" vertical="center"/>
      <protection/>
    </xf>
    <xf numFmtId="0" fontId="5" fillId="24" borderId="0" xfId="305" applyFont="1" applyFill="1" applyBorder="1" applyAlignment="1">
      <alignment vertical="center"/>
      <protection/>
    </xf>
    <xf numFmtId="0" fontId="17" fillId="36" borderId="20" xfId="305" applyFont="1" applyFill="1" applyBorder="1" applyAlignment="1">
      <alignment horizontal="left" vertical="center"/>
      <protection/>
    </xf>
    <xf numFmtId="166" fontId="20" fillId="36" borderId="17" xfId="308" applyNumberFormat="1" applyFont="1" applyFill="1" applyBorder="1" applyAlignment="1" applyProtection="1">
      <alignment vertical="center"/>
      <protection/>
    </xf>
    <xf numFmtId="0" fontId="5" fillId="24" borderId="0" xfId="308" applyFont="1" applyFill="1" applyBorder="1" applyAlignment="1">
      <alignment vertical="center"/>
      <protection/>
    </xf>
    <xf numFmtId="166" fontId="22" fillId="24" borderId="17" xfId="305" applyNumberFormat="1" applyFont="1" applyFill="1" applyBorder="1" applyAlignment="1" applyProtection="1">
      <alignment horizontal="right" vertical="center"/>
      <protection/>
    </xf>
    <xf numFmtId="49" fontId="17" fillId="24" borderId="28" xfId="308" applyNumberFormat="1" applyFont="1" applyFill="1" applyBorder="1" applyAlignment="1">
      <alignment horizontal="left" vertical="center"/>
      <protection/>
    </xf>
    <xf numFmtId="0" fontId="5" fillId="24" borderId="29" xfId="308" applyFont="1" applyFill="1" applyBorder="1" applyAlignment="1">
      <alignment horizontal="left" vertical="center"/>
      <protection/>
    </xf>
    <xf numFmtId="0" fontId="5" fillId="24" borderId="29" xfId="305" applyFont="1" applyFill="1" applyBorder="1" applyAlignment="1">
      <alignment vertical="center"/>
      <protection/>
    </xf>
    <xf numFmtId="3" fontId="21" fillId="33" borderId="28" xfId="308" applyNumberFormat="1" applyFont="1" applyFill="1" applyBorder="1" applyAlignment="1" applyProtection="1">
      <alignment vertical="center"/>
      <protection/>
    </xf>
    <xf numFmtId="3" fontId="21" fillId="33" borderId="37" xfId="308" applyNumberFormat="1" applyFont="1" applyFill="1" applyBorder="1" applyAlignment="1" applyProtection="1">
      <alignment vertical="center"/>
      <protection/>
    </xf>
    <xf numFmtId="9" fontId="21" fillId="33" borderId="38" xfId="308" applyNumberFormat="1" applyFont="1" applyFill="1" applyBorder="1" applyAlignment="1" applyProtection="1">
      <alignment vertical="center"/>
      <protection/>
    </xf>
    <xf numFmtId="166" fontId="21" fillId="33" borderId="39" xfId="308" applyNumberFormat="1" applyFont="1" applyFill="1" applyBorder="1" applyAlignment="1" applyProtection="1">
      <alignment vertical="center"/>
      <protection/>
    </xf>
    <xf numFmtId="3" fontId="21" fillId="24" borderId="40" xfId="308" applyNumberFormat="1" applyFont="1" applyFill="1" applyBorder="1" applyAlignment="1" applyProtection="1">
      <alignment vertical="center"/>
      <protection/>
    </xf>
    <xf numFmtId="9" fontId="21" fillId="24" borderId="41" xfId="308" applyNumberFormat="1" applyFont="1" applyFill="1" applyBorder="1" applyAlignment="1" applyProtection="1">
      <alignment vertical="center"/>
      <protection/>
    </xf>
    <xf numFmtId="166" fontId="21" fillId="24" borderId="42" xfId="308" applyNumberFormat="1" applyFont="1" applyFill="1" applyBorder="1" applyAlignment="1" applyProtection="1">
      <alignment vertical="center"/>
      <protection/>
    </xf>
    <xf numFmtId="3" fontId="22" fillId="0" borderId="43" xfId="308" applyNumberFormat="1" applyFont="1" applyFill="1" applyBorder="1" applyAlignment="1" applyProtection="1">
      <alignment vertical="center"/>
      <protection locked="0"/>
    </xf>
    <xf numFmtId="9" fontId="22" fillId="0" borderId="17" xfId="308" applyNumberFormat="1" applyFont="1" applyFill="1" applyBorder="1" applyAlignment="1" applyProtection="1">
      <alignment vertical="center"/>
      <protection locked="0"/>
    </xf>
    <xf numFmtId="3" fontId="22" fillId="0" borderId="0" xfId="308" applyNumberFormat="1" applyFont="1" applyFill="1" applyBorder="1" applyAlignment="1" applyProtection="1">
      <alignment vertical="center"/>
      <protection locked="0"/>
    </xf>
    <xf numFmtId="3" fontId="22" fillId="0" borderId="44" xfId="308" applyNumberFormat="1" applyFont="1" applyFill="1" applyBorder="1" applyAlignment="1" applyProtection="1">
      <alignment vertical="center"/>
      <protection locked="0"/>
    </xf>
    <xf numFmtId="3" fontId="21" fillId="24" borderId="45" xfId="308" applyNumberFormat="1" applyFont="1" applyFill="1" applyBorder="1" applyAlignment="1" applyProtection="1">
      <alignment vertical="center"/>
      <protection/>
    </xf>
    <xf numFmtId="3" fontId="21" fillId="24" borderId="23" xfId="308" applyNumberFormat="1" applyFont="1" applyFill="1" applyBorder="1" applyAlignment="1" applyProtection="1">
      <alignment vertical="center"/>
      <protection/>
    </xf>
    <xf numFmtId="3" fontId="21" fillId="24" borderId="46" xfId="308" applyNumberFormat="1" applyFont="1" applyFill="1" applyBorder="1" applyAlignment="1" applyProtection="1">
      <alignment vertical="center"/>
      <protection/>
    </xf>
    <xf numFmtId="166" fontId="21" fillId="24" borderId="47" xfId="308" applyNumberFormat="1" applyFont="1" applyFill="1" applyBorder="1" applyAlignment="1" applyProtection="1">
      <alignment vertical="center"/>
      <protection/>
    </xf>
    <xf numFmtId="3" fontId="22" fillId="0" borderId="44" xfId="308" applyNumberFormat="1" applyFont="1" applyFill="1" applyBorder="1" applyAlignment="1" applyProtection="1">
      <alignment vertical="center"/>
      <protection/>
    </xf>
    <xf numFmtId="9" fontId="22" fillId="0" borderId="17" xfId="308" applyNumberFormat="1" applyFont="1" applyFill="1" applyBorder="1" applyAlignment="1" applyProtection="1">
      <alignment horizontal="right" vertical="center"/>
      <protection locked="0"/>
    </xf>
    <xf numFmtId="3" fontId="22" fillId="0" borderId="0" xfId="308" applyNumberFormat="1" applyFont="1" applyFill="1" applyBorder="1" applyAlignment="1" applyProtection="1">
      <alignment vertical="center"/>
      <protection/>
    </xf>
    <xf numFmtId="9" fontId="22" fillId="0" borderId="17" xfId="308" applyNumberFormat="1" applyFont="1" applyFill="1" applyBorder="1" applyAlignment="1" applyProtection="1">
      <alignment vertical="center"/>
      <protection/>
    </xf>
    <xf numFmtId="3" fontId="21" fillId="33" borderId="48" xfId="308" applyNumberFormat="1" applyFont="1" applyFill="1" applyBorder="1" applyAlignment="1" applyProtection="1">
      <alignment vertical="center"/>
      <protection/>
    </xf>
    <xf numFmtId="9" fontId="20" fillId="33" borderId="49" xfId="305" applyNumberFormat="1" applyFont="1" applyFill="1" applyBorder="1" applyAlignment="1">
      <alignment vertical="center"/>
      <protection/>
    </xf>
    <xf numFmtId="166" fontId="20" fillId="33" borderId="50" xfId="305" applyNumberFormat="1" applyFont="1" applyFill="1" applyBorder="1" applyAlignment="1">
      <alignment vertical="center"/>
      <protection/>
    </xf>
    <xf numFmtId="3" fontId="21" fillId="24" borderId="51" xfId="308" applyNumberFormat="1" applyFont="1" applyFill="1" applyBorder="1" applyAlignment="1" applyProtection="1">
      <alignment vertical="center"/>
      <protection/>
    </xf>
    <xf numFmtId="9" fontId="20" fillId="24" borderId="52" xfId="308" applyNumberFormat="1" applyFont="1" applyFill="1" applyBorder="1" applyAlignment="1">
      <alignment vertical="center"/>
      <protection/>
    </xf>
    <xf numFmtId="3" fontId="21" fillId="24" borderId="16" xfId="308" applyNumberFormat="1" applyFont="1" applyFill="1" applyBorder="1" applyAlignment="1" applyProtection="1">
      <alignment vertical="center"/>
      <protection/>
    </xf>
    <xf numFmtId="166" fontId="20" fillId="24" borderId="52" xfId="308" applyNumberFormat="1" applyFont="1" applyFill="1" applyBorder="1" applyAlignment="1">
      <alignment vertical="center"/>
      <protection/>
    </xf>
    <xf numFmtId="3" fontId="22" fillId="34" borderId="44" xfId="308" applyNumberFormat="1" applyFont="1" applyFill="1" applyBorder="1" applyAlignment="1" applyProtection="1">
      <alignment vertical="center"/>
      <protection locked="0"/>
    </xf>
    <xf numFmtId="9" fontId="22" fillId="34" borderId="17" xfId="308" applyNumberFormat="1" applyFont="1" applyFill="1" applyBorder="1" applyAlignment="1" applyProtection="1">
      <alignment vertical="center"/>
      <protection locked="0"/>
    </xf>
    <xf numFmtId="3" fontId="22" fillId="34" borderId="0" xfId="308" applyNumberFormat="1" applyFont="1" applyFill="1" applyBorder="1" applyAlignment="1" applyProtection="1">
      <alignment vertical="center"/>
      <protection locked="0"/>
    </xf>
    <xf numFmtId="3" fontId="17" fillId="0" borderId="0" xfId="305" applyNumberFormat="1" applyFont="1" applyFill="1" applyBorder="1" applyAlignment="1">
      <alignment vertical="center"/>
      <protection/>
    </xf>
    <xf numFmtId="3" fontId="20" fillId="35" borderId="53" xfId="305" applyNumberFormat="1" applyFont="1" applyFill="1" applyBorder="1" applyAlignment="1">
      <alignment vertical="center"/>
      <protection/>
    </xf>
    <xf numFmtId="9" fontId="20" fillId="35" borderId="49" xfId="305" applyNumberFormat="1" applyFont="1" applyFill="1" applyBorder="1" applyAlignment="1">
      <alignment vertical="center"/>
      <protection/>
    </xf>
    <xf numFmtId="3" fontId="20" fillId="35" borderId="30" xfId="305" applyNumberFormat="1" applyFont="1" applyFill="1" applyBorder="1" applyAlignment="1">
      <alignment vertical="center"/>
      <protection/>
    </xf>
    <xf numFmtId="166" fontId="20" fillId="35" borderId="50" xfId="305" applyNumberFormat="1" applyFont="1" applyFill="1" applyBorder="1" applyAlignment="1">
      <alignment vertical="center"/>
      <protection/>
    </xf>
    <xf numFmtId="3" fontId="20" fillId="33" borderId="53" xfId="305" applyNumberFormat="1" applyFont="1" applyFill="1" applyBorder="1" applyAlignment="1">
      <alignment vertical="center"/>
      <protection/>
    </xf>
    <xf numFmtId="3" fontId="20" fillId="35" borderId="48" xfId="305" applyNumberFormat="1" applyFont="1" applyFill="1" applyBorder="1" applyAlignment="1">
      <alignment vertical="center"/>
      <protection/>
    </xf>
    <xf numFmtId="3" fontId="20" fillId="33" borderId="48" xfId="305" applyNumberFormat="1" applyFont="1" applyFill="1" applyBorder="1" applyAlignment="1">
      <alignment vertical="center"/>
      <protection/>
    </xf>
    <xf numFmtId="3" fontId="22" fillId="0" borderId="33" xfId="308" applyNumberFormat="1" applyFont="1" applyFill="1" applyBorder="1" applyAlignment="1" applyProtection="1">
      <alignment vertical="center"/>
      <protection locked="0"/>
    </xf>
    <xf numFmtId="3" fontId="22" fillId="0" borderId="54" xfId="308" applyNumberFormat="1" applyFont="1" applyFill="1" applyBorder="1" applyAlignment="1" applyProtection="1">
      <alignment vertical="center"/>
      <protection locked="0"/>
    </xf>
    <xf numFmtId="3" fontId="22" fillId="0" borderId="55" xfId="308" applyNumberFormat="1" applyFont="1" applyFill="1" applyBorder="1" applyAlignment="1" applyProtection="1">
      <alignment vertical="center"/>
      <protection locked="0"/>
    </xf>
    <xf numFmtId="9" fontId="22" fillId="34" borderId="17" xfId="308" applyNumberFormat="1" applyFont="1" applyFill="1" applyBorder="1" applyAlignment="1" applyProtection="1">
      <alignment horizontal="right" vertical="center"/>
      <protection locked="0"/>
    </xf>
    <xf numFmtId="3" fontId="20" fillId="33" borderId="53" xfId="308" applyNumberFormat="1" applyFont="1" applyFill="1" applyBorder="1" applyAlignment="1">
      <alignment horizontal="right" vertical="center"/>
      <protection/>
    </xf>
    <xf numFmtId="3" fontId="20" fillId="33" borderId="30" xfId="308" applyNumberFormat="1" applyFont="1" applyFill="1" applyBorder="1" applyAlignment="1">
      <alignment horizontal="right" vertical="center"/>
      <protection/>
    </xf>
    <xf numFmtId="3" fontId="22" fillId="0" borderId="48" xfId="305" applyNumberFormat="1" applyFont="1" applyFill="1" applyBorder="1" applyAlignment="1">
      <alignment vertical="center"/>
      <protection/>
    </xf>
    <xf numFmtId="9" fontId="17" fillId="0" borderId="17" xfId="308" applyNumberFormat="1" applyFont="1" applyFill="1" applyBorder="1" applyAlignment="1" applyProtection="1">
      <alignment vertical="center"/>
      <protection/>
    </xf>
    <xf numFmtId="3" fontId="22" fillId="0" borderId="27" xfId="305" applyNumberFormat="1" applyFont="1" applyFill="1" applyBorder="1" applyAlignment="1">
      <alignment vertical="center"/>
      <protection/>
    </xf>
    <xf numFmtId="3" fontId="17" fillId="0" borderId="0" xfId="308" applyNumberFormat="1" applyFont="1" applyFill="1" applyBorder="1" applyAlignment="1" applyProtection="1">
      <alignment vertical="center"/>
      <protection/>
    </xf>
    <xf numFmtId="166" fontId="17" fillId="0" borderId="17" xfId="308" applyNumberFormat="1" applyFont="1" applyFill="1" applyBorder="1" applyAlignment="1" applyProtection="1">
      <alignment vertical="center"/>
      <protection/>
    </xf>
    <xf numFmtId="3" fontId="20" fillId="36" borderId="56" xfId="308" applyNumberFormat="1" applyFont="1" applyFill="1" applyBorder="1" applyAlignment="1" applyProtection="1">
      <alignment vertical="center"/>
      <protection/>
    </xf>
    <xf numFmtId="9" fontId="20" fillId="36" borderId="57" xfId="308" applyNumberFormat="1" applyFont="1" applyFill="1" applyBorder="1" applyAlignment="1" applyProtection="1">
      <alignment vertical="center"/>
      <protection/>
    </xf>
    <xf numFmtId="3" fontId="20" fillId="36" borderId="58" xfId="308" applyNumberFormat="1" applyFont="1" applyFill="1" applyBorder="1" applyAlignment="1" applyProtection="1">
      <alignment vertical="center"/>
      <protection/>
    </xf>
    <xf numFmtId="166" fontId="20" fillId="36" borderId="59" xfId="308" applyNumberFormat="1" applyFont="1" applyFill="1" applyBorder="1" applyAlignment="1" applyProtection="1">
      <alignment vertical="center"/>
      <protection/>
    </xf>
    <xf numFmtId="3" fontId="22" fillId="24" borderId="0" xfId="305" applyNumberFormat="1" applyFont="1" applyFill="1" applyBorder="1" applyAlignment="1" applyProtection="1">
      <alignment vertical="center"/>
      <protection/>
    </xf>
    <xf numFmtId="3" fontId="20" fillId="36" borderId="0" xfId="308" applyNumberFormat="1" applyFont="1" applyFill="1" applyBorder="1" applyAlignment="1" applyProtection="1">
      <alignment vertical="center"/>
      <protection/>
    </xf>
    <xf numFmtId="14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8" fillId="37" borderId="60" xfId="308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3" fontId="6" fillId="38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2" fillId="2" borderId="11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wrapText="1"/>
    </xf>
    <xf numFmtId="3" fontId="2" fillId="2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 wrapText="1"/>
    </xf>
    <xf numFmtId="49" fontId="2" fillId="2" borderId="11" xfId="0" applyNumberFormat="1" applyFont="1" applyFill="1" applyBorder="1" applyAlignment="1">
      <alignment horizontal="right" wrapText="1"/>
    </xf>
    <xf numFmtId="49" fontId="2" fillId="39" borderId="11" xfId="0" applyNumberFormat="1" applyFont="1" applyFill="1" applyBorder="1" applyAlignment="1">
      <alignment horizontal="right" wrapText="1"/>
    </xf>
    <xf numFmtId="49" fontId="5" fillId="39" borderId="11" xfId="0" applyNumberFormat="1" applyFont="1" applyFill="1" applyBorder="1" applyAlignment="1">
      <alignment wrapText="1"/>
    </xf>
    <xf numFmtId="3" fontId="2" fillId="39" borderId="11" xfId="0" applyNumberFormat="1" applyFont="1" applyFill="1" applyBorder="1" applyAlignment="1">
      <alignment/>
    </xf>
    <xf numFmtId="49" fontId="62" fillId="39" borderId="11" xfId="0" applyNumberFormat="1" applyFont="1" applyFill="1" applyBorder="1" applyAlignment="1">
      <alignment horizontal="right" wrapText="1"/>
    </xf>
    <xf numFmtId="49" fontId="63" fillId="39" borderId="11" xfId="0" applyNumberFormat="1" applyFont="1" applyFill="1" applyBorder="1" applyAlignment="1">
      <alignment wrapText="1"/>
    </xf>
    <xf numFmtId="3" fontId="64" fillId="39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1" xfId="304" applyFont="1" applyBorder="1" applyAlignment="1">
      <alignment wrapText="1"/>
      <protection/>
    </xf>
    <xf numFmtId="49" fontId="9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3" fontId="64" fillId="0" borderId="11" xfId="0" applyNumberFormat="1" applyFont="1" applyFill="1" applyBorder="1" applyAlignment="1">
      <alignment/>
    </xf>
    <xf numFmtId="0" fontId="65" fillId="0" borderId="11" xfId="0" applyFont="1" applyFill="1" applyBorder="1" applyAlignment="1">
      <alignment wrapText="1"/>
    </xf>
    <xf numFmtId="0" fontId="66" fillId="0" borderId="11" xfId="0" applyFont="1" applyFill="1" applyBorder="1" applyAlignment="1">
      <alignment wrapText="1"/>
    </xf>
    <xf numFmtId="3" fontId="65" fillId="0" borderId="11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65" fillId="2" borderId="11" xfId="0" applyFont="1" applyFill="1" applyBorder="1" applyAlignment="1">
      <alignment wrapText="1"/>
    </xf>
    <xf numFmtId="0" fontId="66" fillId="2" borderId="11" xfId="0" applyFont="1" applyFill="1" applyBorder="1" applyAlignment="1">
      <alignment wrapText="1"/>
    </xf>
    <xf numFmtId="3" fontId="65" fillId="2" borderId="11" xfId="0" applyNumberFormat="1" applyFont="1" applyFill="1" applyBorder="1" applyAlignment="1">
      <alignment/>
    </xf>
    <xf numFmtId="0" fontId="2" fillId="39" borderId="0" xfId="0" applyFont="1" applyFill="1" applyAlignment="1">
      <alignment horizontal="right"/>
    </xf>
    <xf numFmtId="0" fontId="65" fillId="39" borderId="1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2" fillId="0" borderId="19" xfId="0" applyFont="1" applyFill="1" applyBorder="1" applyAlignment="1">
      <alignment horizontal="right"/>
    </xf>
    <xf numFmtId="49" fontId="2" fillId="0" borderId="61" xfId="0" applyNumberFormat="1" applyFont="1" applyFill="1" applyBorder="1" applyAlignment="1">
      <alignment wrapText="1"/>
    </xf>
    <xf numFmtId="49" fontId="5" fillId="0" borderId="61" xfId="0" applyNumberFormat="1" applyFont="1" applyFill="1" applyBorder="1" applyAlignment="1">
      <alignment wrapText="1"/>
    </xf>
    <xf numFmtId="3" fontId="6" fillId="0" borderId="61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6" fillId="0" borderId="11" xfId="304" applyFont="1" applyBorder="1" applyAlignment="1">
      <alignment wrapText="1"/>
      <protection/>
    </xf>
    <xf numFmtId="49" fontId="6" fillId="39" borderId="11" xfId="0" applyNumberFormat="1" applyFont="1" applyFill="1" applyBorder="1" applyAlignment="1">
      <alignment wrapText="1"/>
    </xf>
    <xf numFmtId="3" fontId="3" fillId="39" borderId="11" xfId="0" applyNumberFormat="1" applyFont="1" applyFill="1" applyBorder="1" applyAlignment="1">
      <alignment/>
    </xf>
    <xf numFmtId="49" fontId="2" fillId="39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3" fontId="8" fillId="2" borderId="11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left" wrapText="1"/>
    </xf>
    <xf numFmtId="3" fontId="23" fillId="2" borderId="11" xfId="0" applyNumberFormat="1" applyFont="1" applyFill="1" applyBorder="1" applyAlignment="1">
      <alignment/>
    </xf>
    <xf numFmtId="3" fontId="48" fillId="0" borderId="11" xfId="251" applyNumberFormat="1" applyFont="1" applyFill="1" applyBorder="1" applyAlignment="1">
      <alignment/>
    </xf>
    <xf numFmtId="3" fontId="3" fillId="40" borderId="11" xfId="0" applyNumberFormat="1" applyFont="1" applyFill="1" applyBorder="1" applyAlignment="1">
      <alignment/>
    </xf>
    <xf numFmtId="0" fontId="10" fillId="0" borderId="0" xfId="282">
      <alignment/>
      <protection/>
    </xf>
    <xf numFmtId="0" fontId="7" fillId="0" borderId="62" xfId="305" applyFont="1" applyBorder="1" applyAlignment="1">
      <alignment horizontal="center" vertical="center"/>
      <protection/>
    </xf>
    <xf numFmtId="0" fontId="19" fillId="0" borderId="18" xfId="305" applyFont="1" applyBorder="1" applyAlignment="1">
      <alignment horizontal="left" vertical="center"/>
      <protection/>
    </xf>
    <xf numFmtId="0" fontId="17" fillId="0" borderId="19" xfId="305" applyFont="1" applyBorder="1" applyAlignment="1">
      <alignment vertical="center"/>
      <protection/>
    </xf>
    <xf numFmtId="0" fontId="19" fillId="0" borderId="19" xfId="308" applyFont="1" applyFill="1" applyBorder="1" applyAlignment="1" applyProtection="1">
      <alignment horizontal="left" vertical="center"/>
      <protection locked="0"/>
    </xf>
    <xf numFmtId="0" fontId="7" fillId="0" borderId="0" xfId="305" applyFont="1" applyBorder="1" applyAlignment="1">
      <alignment horizontal="center" vertical="center"/>
      <protection/>
    </xf>
    <xf numFmtId="0" fontId="20" fillId="33" borderId="28" xfId="308" applyFont="1" applyFill="1" applyBorder="1" applyAlignment="1">
      <alignment horizontal="left" vertical="center"/>
      <protection/>
    </xf>
    <xf numFmtId="0" fontId="20" fillId="33" borderId="29" xfId="308" applyFont="1" applyFill="1" applyBorder="1" applyAlignment="1">
      <alignment horizontal="left" vertical="center"/>
      <protection/>
    </xf>
    <xf numFmtId="0" fontId="20" fillId="33" borderId="29" xfId="308" applyFont="1" applyFill="1" applyBorder="1" applyAlignment="1">
      <alignment vertical="center"/>
      <protection/>
    </xf>
    <xf numFmtId="0" fontId="4" fillId="24" borderId="15" xfId="308" applyFont="1" applyFill="1" applyBorder="1" applyAlignment="1">
      <alignment horizontal="left" vertical="center"/>
      <protection/>
    </xf>
    <xf numFmtId="0" fontId="4" fillId="24" borderId="16" xfId="308" applyFont="1" applyFill="1" applyBorder="1" applyAlignment="1">
      <alignment horizontal="left" vertical="center"/>
      <protection/>
    </xf>
    <xf numFmtId="0" fontId="20" fillId="24" borderId="16" xfId="308" applyFont="1" applyFill="1" applyBorder="1" applyAlignment="1">
      <alignment vertical="center"/>
      <protection/>
    </xf>
    <xf numFmtId="0" fontId="5" fillId="0" borderId="34" xfId="308" applyFont="1" applyFill="1" applyBorder="1" applyAlignment="1">
      <alignment horizontal="left" vertical="center"/>
      <protection/>
    </xf>
    <xf numFmtId="9" fontId="22" fillId="24" borderId="0" xfId="305" applyNumberFormat="1" applyFont="1" applyFill="1" applyBorder="1" applyAlignment="1" applyProtection="1">
      <alignment vertical="center"/>
      <protection/>
    </xf>
    <xf numFmtId="9" fontId="20" fillId="36" borderId="0" xfId="308" applyNumberFormat="1" applyFont="1" applyFill="1" applyBorder="1" applyAlignment="1" applyProtection="1">
      <alignment vertical="center"/>
      <protection/>
    </xf>
    <xf numFmtId="9" fontId="22" fillId="24" borderId="0" xfId="305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/>
    </xf>
    <xf numFmtId="49" fontId="2" fillId="0" borderId="63" xfId="0" applyNumberFormat="1" applyFont="1" applyFill="1" applyBorder="1" applyAlignment="1">
      <alignment horizontal="right" wrapText="1"/>
    </xf>
    <xf numFmtId="49" fontId="5" fillId="0" borderId="63" xfId="0" applyNumberFormat="1" applyFont="1" applyFill="1" applyBorder="1" applyAlignment="1">
      <alignment wrapText="1"/>
    </xf>
    <xf numFmtId="3" fontId="2" fillId="0" borderId="63" xfId="0" applyNumberFormat="1" applyFont="1" applyFill="1" applyBorder="1" applyAlignment="1">
      <alignment/>
    </xf>
    <xf numFmtId="0" fontId="65" fillId="2" borderId="0" xfId="0" applyFont="1" applyFill="1" applyAlignment="1">
      <alignment horizontal="right"/>
    </xf>
    <xf numFmtId="0" fontId="65" fillId="2" borderId="11" xfId="304" applyFont="1" applyFill="1" applyBorder="1" applyAlignment="1">
      <alignment horizontal="left" wrapText="1"/>
      <protection/>
    </xf>
    <xf numFmtId="49" fontId="66" fillId="2" borderId="11" xfId="0" applyNumberFormat="1" applyFont="1" applyFill="1" applyBorder="1" applyAlignment="1">
      <alignment wrapText="1"/>
    </xf>
    <xf numFmtId="0" fontId="2" fillId="41" borderId="0" xfId="0" applyFont="1" applyFill="1" applyAlignment="1">
      <alignment horizontal="right"/>
    </xf>
    <xf numFmtId="0" fontId="2" fillId="41" borderId="11" xfId="0" applyFont="1" applyFill="1" applyBorder="1" applyAlignment="1">
      <alignment wrapText="1"/>
    </xf>
    <xf numFmtId="3" fontId="2" fillId="41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wrapText="1"/>
    </xf>
    <xf numFmtId="0" fontId="4" fillId="36" borderId="0" xfId="308" applyFont="1" applyFill="1" applyBorder="1" applyAlignment="1">
      <alignment vertical="center" wrapText="1"/>
      <protection/>
    </xf>
    <xf numFmtId="0" fontId="5" fillId="36" borderId="0" xfId="305" applyFont="1" applyFill="1" applyBorder="1" applyAlignment="1">
      <alignment vertical="center" wrapText="1"/>
      <protection/>
    </xf>
    <xf numFmtId="0" fontId="16" fillId="0" borderId="64" xfId="305" applyFont="1" applyBorder="1" applyAlignment="1">
      <alignment horizontal="center" vertical="center" wrapText="1"/>
      <protection/>
    </xf>
    <xf numFmtId="0" fontId="16" fillId="0" borderId="62" xfId="305" applyFont="1" applyBorder="1" applyAlignment="1">
      <alignment horizontal="center" vertical="center" wrapText="1"/>
      <protection/>
    </xf>
    <xf numFmtId="4" fontId="12" fillId="0" borderId="35" xfId="308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308" applyNumberFormat="1" applyFont="1" applyFill="1" applyBorder="1" applyAlignment="1" applyProtection="1">
      <alignment horizontal="center" vertical="center" wrapText="1"/>
      <protection locked="0"/>
    </xf>
    <xf numFmtId="4" fontId="12" fillId="0" borderId="56" xfId="308" applyNumberFormat="1" applyFont="1" applyFill="1" applyBorder="1" applyAlignment="1" applyProtection="1">
      <alignment horizontal="center" vertical="center" wrapText="1"/>
      <protection locked="0"/>
    </xf>
    <xf numFmtId="4" fontId="12" fillId="0" borderId="65" xfId="308" applyNumberFormat="1" applyFont="1" applyFill="1" applyBorder="1" applyAlignment="1" applyProtection="1">
      <alignment horizontal="center" vertical="center" wrapText="1"/>
      <protection locked="0"/>
    </xf>
    <xf numFmtId="0" fontId="14" fillId="0" borderId="66" xfId="305" applyFont="1" applyBorder="1" applyAlignment="1">
      <alignment horizontal="center" vertical="center"/>
      <protection/>
    </xf>
    <xf numFmtId="0" fontId="14" fillId="0" borderId="41" xfId="305" applyFont="1" applyBorder="1" applyAlignment="1">
      <alignment horizontal="center" vertical="center"/>
      <protection/>
    </xf>
    <xf numFmtId="0" fontId="7" fillId="0" borderId="62" xfId="305" applyFont="1" applyBorder="1" applyAlignment="1">
      <alignment horizontal="center" vertical="center"/>
      <protection/>
    </xf>
    <xf numFmtId="0" fontId="7" fillId="0" borderId="57" xfId="305" applyFont="1" applyBorder="1" applyAlignment="1">
      <alignment horizontal="center" vertical="center"/>
      <protection/>
    </xf>
    <xf numFmtId="0" fontId="4" fillId="36" borderId="62" xfId="308" applyFont="1" applyFill="1" applyBorder="1" applyAlignment="1">
      <alignment vertical="center" wrapText="1"/>
      <protection/>
    </xf>
    <xf numFmtId="0" fontId="5" fillId="36" borderId="62" xfId="305" applyFont="1" applyFill="1" applyBorder="1" applyAlignment="1">
      <alignment vertical="center" wrapText="1"/>
      <protection/>
    </xf>
    <xf numFmtId="0" fontId="3" fillId="0" borderId="6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67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165" fontId="7" fillId="0" borderId="68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165" fontId="2" fillId="0" borderId="68" xfId="0" applyNumberFormat="1" applyFont="1" applyFill="1" applyBorder="1" applyAlignment="1">
      <alignment/>
    </xf>
    <xf numFmtId="165" fontId="6" fillId="0" borderId="68" xfId="0" applyNumberFormat="1" applyFont="1" applyFill="1" applyBorder="1" applyAlignment="1">
      <alignment/>
    </xf>
    <xf numFmtId="165" fontId="2" fillId="2" borderId="68" xfId="0" applyNumberFormat="1" applyFont="1" applyFill="1" applyBorder="1" applyAlignment="1">
      <alignment/>
    </xf>
    <xf numFmtId="165" fontId="2" fillId="39" borderId="68" xfId="0" applyNumberFormat="1" applyFont="1" applyFill="1" applyBorder="1" applyAlignment="1">
      <alignment/>
    </xf>
    <xf numFmtId="165" fontId="65" fillId="0" borderId="68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165" fontId="2" fillId="41" borderId="6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</cellXfs>
  <cellStyles count="312">
    <cellStyle name="Normal" xfId="0"/>
    <cellStyle name="20% – rõhk1" xfId="15"/>
    <cellStyle name="20% – rõhk1 10" xfId="16"/>
    <cellStyle name="20% – rõhk1 2" xfId="17"/>
    <cellStyle name="20% – rõhk1 2 2" xfId="18"/>
    <cellStyle name="20% – rõhk1 2 2 2" xfId="19"/>
    <cellStyle name="20% – rõhk1 2 3" xfId="20"/>
    <cellStyle name="20% – rõhk1 3" xfId="21"/>
    <cellStyle name="20% – rõhk1 3 2" xfId="22"/>
    <cellStyle name="20% – rõhk1 4" xfId="23"/>
    <cellStyle name="20% – rõhk1 4 2" xfId="24"/>
    <cellStyle name="20% – rõhk1 5" xfId="25"/>
    <cellStyle name="20% – rõhk1 5 2" xfId="26"/>
    <cellStyle name="20% – rõhk1 6" xfId="27"/>
    <cellStyle name="20% – rõhk1 6 2" xfId="28"/>
    <cellStyle name="20% – rõhk1 7" xfId="29"/>
    <cellStyle name="20% – rõhk1 7 2" xfId="30"/>
    <cellStyle name="20% – rõhk1 8" xfId="31"/>
    <cellStyle name="20% – rõhk1 8 2" xfId="32"/>
    <cellStyle name="20% – rõhk1 9" xfId="33"/>
    <cellStyle name="20% – rõhk2" xfId="34"/>
    <cellStyle name="20% – rõhk2 10" xfId="35"/>
    <cellStyle name="20% – rõhk2 2" xfId="36"/>
    <cellStyle name="20% – rõhk2 2 2" xfId="37"/>
    <cellStyle name="20% – rõhk2 2 2 2" xfId="38"/>
    <cellStyle name="20% – rõhk2 2 3" xfId="39"/>
    <cellStyle name="20% – rõhk2 3" xfId="40"/>
    <cellStyle name="20% – rõhk2 3 2" xfId="41"/>
    <cellStyle name="20% – rõhk2 4" xfId="42"/>
    <cellStyle name="20% – rõhk2 4 2" xfId="43"/>
    <cellStyle name="20% – rõhk2 5" xfId="44"/>
    <cellStyle name="20% – rõhk2 5 2" xfId="45"/>
    <cellStyle name="20% – rõhk2 6" xfId="46"/>
    <cellStyle name="20% – rõhk2 6 2" xfId="47"/>
    <cellStyle name="20% – rõhk2 7" xfId="48"/>
    <cellStyle name="20% – rõhk2 7 2" xfId="49"/>
    <cellStyle name="20% – rõhk2 8" xfId="50"/>
    <cellStyle name="20% – rõhk2 8 2" xfId="51"/>
    <cellStyle name="20% – rõhk2 9" xfId="52"/>
    <cellStyle name="20% – rõhk3" xfId="53"/>
    <cellStyle name="20% – rõhk3 10" xfId="54"/>
    <cellStyle name="20% – rõhk3 2" xfId="55"/>
    <cellStyle name="20% – rõhk3 2 2" xfId="56"/>
    <cellStyle name="20% – rõhk3 2 2 2" xfId="57"/>
    <cellStyle name="20% – rõhk3 2 3" xfId="58"/>
    <cellStyle name="20% – rõhk3 3" xfId="59"/>
    <cellStyle name="20% – rõhk3 3 2" xfId="60"/>
    <cellStyle name="20% – rõhk3 4" xfId="61"/>
    <cellStyle name="20% – rõhk3 4 2" xfId="62"/>
    <cellStyle name="20% – rõhk3 5" xfId="63"/>
    <cellStyle name="20% – rõhk3 5 2" xfId="64"/>
    <cellStyle name="20% – rõhk3 6" xfId="65"/>
    <cellStyle name="20% – rõhk3 6 2" xfId="66"/>
    <cellStyle name="20% – rõhk3 7" xfId="67"/>
    <cellStyle name="20% – rõhk3 7 2" xfId="68"/>
    <cellStyle name="20% – rõhk3 8" xfId="69"/>
    <cellStyle name="20% – rõhk3 8 2" xfId="70"/>
    <cellStyle name="20% – rõhk3 9" xfId="71"/>
    <cellStyle name="20% – rõhk4" xfId="72"/>
    <cellStyle name="20% – rõhk4 10" xfId="73"/>
    <cellStyle name="20% – rõhk4 2" xfId="74"/>
    <cellStyle name="20% – rõhk4 2 2" xfId="75"/>
    <cellStyle name="20% – rõhk4 2 2 2" xfId="76"/>
    <cellStyle name="20% – rõhk4 2 3" xfId="77"/>
    <cellStyle name="20% – rõhk4 3" xfId="78"/>
    <cellStyle name="20% – rõhk4 3 2" xfId="79"/>
    <cellStyle name="20% – rõhk4 4" xfId="80"/>
    <cellStyle name="20% – rõhk4 4 2" xfId="81"/>
    <cellStyle name="20% – rõhk4 5" xfId="82"/>
    <cellStyle name="20% – rõhk4 5 2" xfId="83"/>
    <cellStyle name="20% – rõhk4 6" xfId="84"/>
    <cellStyle name="20% – rõhk4 6 2" xfId="85"/>
    <cellStyle name="20% – rõhk4 7" xfId="86"/>
    <cellStyle name="20% – rõhk4 7 2" xfId="87"/>
    <cellStyle name="20% – rõhk4 8" xfId="88"/>
    <cellStyle name="20% – rõhk4 8 2" xfId="89"/>
    <cellStyle name="20% – rõhk4 9" xfId="90"/>
    <cellStyle name="20% – rõhk5" xfId="91"/>
    <cellStyle name="20% – rõhk5 10" xfId="92"/>
    <cellStyle name="20% – rõhk5 2" xfId="93"/>
    <cellStyle name="20% – rõhk5 2 2" xfId="94"/>
    <cellStyle name="20% – rõhk5 2 2 2" xfId="95"/>
    <cellStyle name="20% – rõhk5 2 3" xfId="96"/>
    <cellStyle name="20% – rõhk5 3" xfId="97"/>
    <cellStyle name="20% – rõhk5 3 2" xfId="98"/>
    <cellStyle name="20% – rõhk5 4" xfId="99"/>
    <cellStyle name="20% – rõhk5 4 2" xfId="100"/>
    <cellStyle name="20% – rõhk5 5" xfId="101"/>
    <cellStyle name="20% – rõhk5 5 2" xfId="102"/>
    <cellStyle name="20% – rõhk5 6" xfId="103"/>
    <cellStyle name="20% – rõhk5 6 2" xfId="104"/>
    <cellStyle name="20% – rõhk5 7" xfId="105"/>
    <cellStyle name="20% – rõhk5 7 2" xfId="106"/>
    <cellStyle name="20% – rõhk5 8" xfId="107"/>
    <cellStyle name="20% – rõhk5 8 2" xfId="108"/>
    <cellStyle name="20% – rõhk5 9" xfId="109"/>
    <cellStyle name="20% – rõhk6" xfId="110"/>
    <cellStyle name="20% – rõhk6 10" xfId="111"/>
    <cellStyle name="20% – rõhk6 2" xfId="112"/>
    <cellStyle name="20% – rõhk6 2 2" xfId="113"/>
    <cellStyle name="20% – rõhk6 2 2 2" xfId="114"/>
    <cellStyle name="20% – rõhk6 2 3" xfId="115"/>
    <cellStyle name="20% – rõhk6 3" xfId="116"/>
    <cellStyle name="20% – rõhk6 3 2" xfId="117"/>
    <cellStyle name="20% – rõhk6 4" xfId="118"/>
    <cellStyle name="20% – rõhk6 4 2" xfId="119"/>
    <cellStyle name="20% – rõhk6 5" xfId="120"/>
    <cellStyle name="20% – rõhk6 5 2" xfId="121"/>
    <cellStyle name="20% – rõhk6 6" xfId="122"/>
    <cellStyle name="20% – rõhk6 6 2" xfId="123"/>
    <cellStyle name="20% – rõhk6 7" xfId="124"/>
    <cellStyle name="20% – rõhk6 7 2" xfId="125"/>
    <cellStyle name="20% – rõhk6 8" xfId="126"/>
    <cellStyle name="20% – rõhk6 8 2" xfId="127"/>
    <cellStyle name="20% – rõhk6 9" xfId="128"/>
    <cellStyle name="40% – rõhk1" xfId="129"/>
    <cellStyle name="40% – rõhk1 10" xfId="130"/>
    <cellStyle name="40% – rõhk1 2" xfId="131"/>
    <cellStyle name="40% – rõhk1 2 2" xfId="132"/>
    <cellStyle name="40% – rõhk1 2 2 2" xfId="133"/>
    <cellStyle name="40% – rõhk1 2 3" xfId="134"/>
    <cellStyle name="40% – rõhk1 3" xfId="135"/>
    <cellStyle name="40% – rõhk1 3 2" xfId="136"/>
    <cellStyle name="40% – rõhk1 4" xfId="137"/>
    <cellStyle name="40% – rõhk1 4 2" xfId="138"/>
    <cellStyle name="40% – rõhk1 5" xfId="139"/>
    <cellStyle name="40% – rõhk1 5 2" xfId="140"/>
    <cellStyle name="40% – rõhk1 6" xfId="141"/>
    <cellStyle name="40% – rõhk1 6 2" xfId="142"/>
    <cellStyle name="40% – rõhk1 7" xfId="143"/>
    <cellStyle name="40% – rõhk1 7 2" xfId="144"/>
    <cellStyle name="40% – rõhk1 8" xfId="145"/>
    <cellStyle name="40% – rõhk1 8 2" xfId="146"/>
    <cellStyle name="40% – rõhk1 9" xfId="147"/>
    <cellStyle name="40% – rõhk2" xfId="148"/>
    <cellStyle name="40% – rõhk2 10" xfId="149"/>
    <cellStyle name="40% – rõhk2 2" xfId="150"/>
    <cellStyle name="40% – rõhk2 2 2" xfId="151"/>
    <cellStyle name="40% – rõhk2 2 2 2" xfId="152"/>
    <cellStyle name="40% – rõhk2 2 3" xfId="153"/>
    <cellStyle name="40% – rõhk2 3" xfId="154"/>
    <cellStyle name="40% – rõhk2 3 2" xfId="155"/>
    <cellStyle name="40% – rõhk2 4" xfId="156"/>
    <cellStyle name="40% – rõhk2 4 2" xfId="157"/>
    <cellStyle name="40% – rõhk2 5" xfId="158"/>
    <cellStyle name="40% – rõhk2 5 2" xfId="159"/>
    <cellStyle name="40% – rõhk2 6" xfId="160"/>
    <cellStyle name="40% – rõhk2 6 2" xfId="161"/>
    <cellStyle name="40% – rõhk2 7" xfId="162"/>
    <cellStyle name="40% – rõhk2 7 2" xfId="163"/>
    <cellStyle name="40% – rõhk2 8" xfId="164"/>
    <cellStyle name="40% – rõhk2 8 2" xfId="165"/>
    <cellStyle name="40% – rõhk2 9" xfId="166"/>
    <cellStyle name="40% – rõhk3" xfId="167"/>
    <cellStyle name="40% – rõhk3 10" xfId="168"/>
    <cellStyle name="40% – rõhk3 2" xfId="169"/>
    <cellStyle name="40% – rõhk3 2 2" xfId="170"/>
    <cellStyle name="40% – rõhk3 2 2 2" xfId="171"/>
    <cellStyle name="40% – rõhk3 2 3" xfId="172"/>
    <cellStyle name="40% – rõhk3 3" xfId="173"/>
    <cellStyle name="40% – rõhk3 3 2" xfId="174"/>
    <cellStyle name="40% – rõhk3 4" xfId="175"/>
    <cellStyle name="40% – rõhk3 4 2" xfId="176"/>
    <cellStyle name="40% – rõhk3 5" xfId="177"/>
    <cellStyle name="40% – rõhk3 5 2" xfId="178"/>
    <cellStyle name="40% – rõhk3 6" xfId="179"/>
    <cellStyle name="40% – rõhk3 6 2" xfId="180"/>
    <cellStyle name="40% – rõhk3 7" xfId="181"/>
    <cellStyle name="40% – rõhk3 7 2" xfId="182"/>
    <cellStyle name="40% – rõhk3 8" xfId="183"/>
    <cellStyle name="40% – rõhk3 8 2" xfId="184"/>
    <cellStyle name="40% – rõhk3 9" xfId="185"/>
    <cellStyle name="40% – rõhk4" xfId="186"/>
    <cellStyle name="40% – rõhk4 10" xfId="187"/>
    <cellStyle name="40% – rõhk4 2" xfId="188"/>
    <cellStyle name="40% – rõhk4 2 2" xfId="189"/>
    <cellStyle name="40% – rõhk4 2 2 2" xfId="190"/>
    <cellStyle name="40% – rõhk4 2 3" xfId="191"/>
    <cellStyle name="40% – rõhk4 3" xfId="192"/>
    <cellStyle name="40% – rõhk4 3 2" xfId="193"/>
    <cellStyle name="40% – rõhk4 4" xfId="194"/>
    <cellStyle name="40% – rõhk4 4 2" xfId="195"/>
    <cellStyle name="40% – rõhk4 5" xfId="196"/>
    <cellStyle name="40% – rõhk4 5 2" xfId="197"/>
    <cellStyle name="40% – rõhk4 6" xfId="198"/>
    <cellStyle name="40% – rõhk4 6 2" xfId="199"/>
    <cellStyle name="40% – rõhk4 7" xfId="200"/>
    <cellStyle name="40% – rõhk4 7 2" xfId="201"/>
    <cellStyle name="40% – rõhk4 8" xfId="202"/>
    <cellStyle name="40% – rõhk4 8 2" xfId="203"/>
    <cellStyle name="40% – rõhk4 9" xfId="204"/>
    <cellStyle name="40% – rõhk5" xfId="205"/>
    <cellStyle name="40% – rõhk5 10" xfId="206"/>
    <cellStyle name="40% – rõhk5 2" xfId="207"/>
    <cellStyle name="40% – rõhk5 2 2" xfId="208"/>
    <cellStyle name="40% – rõhk5 2 2 2" xfId="209"/>
    <cellStyle name="40% – rõhk5 2 3" xfId="210"/>
    <cellStyle name="40% – rõhk5 3" xfId="211"/>
    <cellStyle name="40% – rõhk5 3 2" xfId="212"/>
    <cellStyle name="40% – rõhk5 4" xfId="213"/>
    <cellStyle name="40% – rõhk5 4 2" xfId="214"/>
    <cellStyle name="40% – rõhk5 5" xfId="215"/>
    <cellStyle name="40% – rõhk5 5 2" xfId="216"/>
    <cellStyle name="40% – rõhk5 6" xfId="217"/>
    <cellStyle name="40% – rõhk5 6 2" xfId="218"/>
    <cellStyle name="40% – rõhk5 7" xfId="219"/>
    <cellStyle name="40% – rõhk5 7 2" xfId="220"/>
    <cellStyle name="40% – rõhk5 8" xfId="221"/>
    <cellStyle name="40% – rõhk5 8 2" xfId="222"/>
    <cellStyle name="40% – rõhk5 9" xfId="223"/>
    <cellStyle name="40% – rõhk6" xfId="224"/>
    <cellStyle name="40% – rõhk6 10" xfId="225"/>
    <cellStyle name="40% – rõhk6 2" xfId="226"/>
    <cellStyle name="40% – rõhk6 2 2" xfId="227"/>
    <cellStyle name="40% – rõhk6 2 2 2" xfId="228"/>
    <cellStyle name="40% – rõhk6 2 3" xfId="229"/>
    <cellStyle name="40% – rõhk6 3" xfId="230"/>
    <cellStyle name="40% – rõhk6 3 2" xfId="231"/>
    <cellStyle name="40% – rõhk6 4" xfId="232"/>
    <cellStyle name="40% – rõhk6 4 2" xfId="233"/>
    <cellStyle name="40% – rõhk6 5" xfId="234"/>
    <cellStyle name="40% – rõhk6 5 2" xfId="235"/>
    <cellStyle name="40% – rõhk6 6" xfId="236"/>
    <cellStyle name="40% – rõhk6 6 2" xfId="237"/>
    <cellStyle name="40% – rõhk6 7" xfId="238"/>
    <cellStyle name="40% – rõhk6 7 2" xfId="239"/>
    <cellStyle name="40% – rõhk6 8" xfId="240"/>
    <cellStyle name="40% – rõhk6 8 2" xfId="241"/>
    <cellStyle name="40% – rõhk6 9" xfId="242"/>
    <cellStyle name="60% – rõhk1" xfId="243"/>
    <cellStyle name="60% – rõhk2" xfId="244"/>
    <cellStyle name="60% – rõhk3" xfId="245"/>
    <cellStyle name="60% – rõhk4" xfId="246"/>
    <cellStyle name="60% – rõhk5" xfId="247"/>
    <cellStyle name="60% – rõhk6" xfId="248"/>
    <cellStyle name="Arvutus" xfId="249"/>
    <cellStyle name="Halb" xfId="250"/>
    <cellStyle name="Hea" xfId="251"/>
    <cellStyle name="Hoiatuse tekst" xfId="252"/>
    <cellStyle name="Kokku" xfId="253"/>
    <cellStyle name="Comma" xfId="254"/>
    <cellStyle name="Comma [0]" xfId="255"/>
    <cellStyle name="Kontrolli lahtrit" xfId="256"/>
    <cellStyle name="Lingitud lahter" xfId="257"/>
    <cellStyle name="Märkus" xfId="258"/>
    <cellStyle name="Märkus 2" xfId="259"/>
    <cellStyle name="Märkus 2 2" xfId="260"/>
    <cellStyle name="Märkus 2 2 2" xfId="261"/>
    <cellStyle name="Märkus 2 3" xfId="262"/>
    <cellStyle name="Märkus 3" xfId="263"/>
    <cellStyle name="Märkus 3 2" xfId="264"/>
    <cellStyle name="Märkus 3 2 2" xfId="265"/>
    <cellStyle name="Märkus 3 3" xfId="266"/>
    <cellStyle name="Märkus 4" xfId="267"/>
    <cellStyle name="Märkus 4 2" xfId="268"/>
    <cellStyle name="Märkus 5" xfId="269"/>
    <cellStyle name="Märkus 5 2" xfId="270"/>
    <cellStyle name="Märkus 6" xfId="271"/>
    <cellStyle name="Märkus 6 2" xfId="272"/>
    <cellStyle name="Märkus 7" xfId="273"/>
    <cellStyle name="Märkus 7 2" xfId="274"/>
    <cellStyle name="Märkus 8" xfId="275"/>
    <cellStyle name="Märkus 8 2" xfId="276"/>
    <cellStyle name="Märkus 9" xfId="277"/>
    <cellStyle name="Neutraalne" xfId="278"/>
    <cellStyle name="Normaallaad 10" xfId="279"/>
    <cellStyle name="Normaallaad 10 2" xfId="280"/>
    <cellStyle name="Normaallaad 11" xfId="281"/>
    <cellStyle name="Normaallaad 2" xfId="282"/>
    <cellStyle name="Normaallaad 2 2" xfId="283"/>
    <cellStyle name="Normaallaad 2 2 2" xfId="284"/>
    <cellStyle name="Normaallaad 2 3" xfId="285"/>
    <cellStyle name="Normaallaad 3" xfId="286"/>
    <cellStyle name="Normaallaad 3 2" xfId="287"/>
    <cellStyle name="Normaallaad 3 2 2" xfId="288"/>
    <cellStyle name="Normaallaad 3 3" xfId="289"/>
    <cellStyle name="Normaallaad 4" xfId="290"/>
    <cellStyle name="Normaallaad 4 2" xfId="291"/>
    <cellStyle name="Normaallaad 4 2 2" xfId="292"/>
    <cellStyle name="Normaallaad 4 3" xfId="293"/>
    <cellStyle name="Normaallaad 5" xfId="294"/>
    <cellStyle name="Normaallaad 5 2" xfId="295"/>
    <cellStyle name="Normaallaad 6" xfId="296"/>
    <cellStyle name="Normaallaad 6 2" xfId="297"/>
    <cellStyle name="Normaallaad 7" xfId="298"/>
    <cellStyle name="Normaallaad 7 2" xfId="299"/>
    <cellStyle name="Normaallaad 8" xfId="300"/>
    <cellStyle name="Normaallaad 8 2" xfId="301"/>
    <cellStyle name="Normaallaad 9" xfId="302"/>
    <cellStyle name="Normaallaad 9 2" xfId="303"/>
    <cellStyle name="Normaallaad_Leht1" xfId="304"/>
    <cellStyle name="Normal 2" xfId="305"/>
    <cellStyle name="Normal 3" xfId="306"/>
    <cellStyle name="Normal 4" xfId="307"/>
    <cellStyle name="Normal_Sheet1 2" xfId="308"/>
    <cellStyle name="Pealkiri" xfId="309"/>
    <cellStyle name="Pealkiri 1" xfId="310"/>
    <cellStyle name="Pealkiri 2" xfId="311"/>
    <cellStyle name="Pealkiri 3" xfId="312"/>
    <cellStyle name="Pealkiri 4" xfId="313"/>
    <cellStyle name="Percent" xfId="314"/>
    <cellStyle name="Rõhk1" xfId="315"/>
    <cellStyle name="Rõhk2" xfId="316"/>
    <cellStyle name="Rõhk3" xfId="317"/>
    <cellStyle name="Rõhk4" xfId="318"/>
    <cellStyle name="Rõhk5" xfId="319"/>
    <cellStyle name="Rõhk6" xfId="320"/>
    <cellStyle name="Selgitav tekst" xfId="321"/>
    <cellStyle name="Sisestus" xfId="322"/>
    <cellStyle name="Currency" xfId="323"/>
    <cellStyle name="Currency [0]" xfId="324"/>
    <cellStyle name="Väljund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2">
      <selection activeCell="D12" sqref="D12"/>
    </sheetView>
  </sheetViews>
  <sheetFormatPr defaultColWidth="9.140625" defaultRowHeight="15"/>
  <cols>
    <col min="1" max="2" width="9.140625" style="263" customWidth="1"/>
    <col min="3" max="3" width="36.140625" style="263" bestFit="1" customWidth="1"/>
    <col min="4" max="4" width="10.140625" style="263" bestFit="1" customWidth="1"/>
    <col min="5" max="5" width="10.7109375" style="263" customWidth="1"/>
    <col min="6" max="6" width="9.140625" style="263" customWidth="1"/>
    <col min="7" max="7" width="9.57421875" style="263" customWidth="1"/>
    <col min="8" max="16384" width="9.140625" style="263" customWidth="1"/>
  </cols>
  <sheetData>
    <row r="1" spans="1:9" ht="15" hidden="1" thickBot="1">
      <c r="A1" s="34" t="s">
        <v>154</v>
      </c>
      <c r="B1" s="35"/>
      <c r="C1" s="36"/>
      <c r="D1" s="37"/>
      <c r="E1" s="37"/>
      <c r="F1" s="38"/>
      <c r="G1" s="38"/>
      <c r="H1" s="38"/>
      <c r="I1" s="38"/>
    </row>
    <row r="2" spans="1:9" ht="16.5" thickBot="1">
      <c r="A2" s="292" t="s">
        <v>155</v>
      </c>
      <c r="B2" s="293"/>
      <c r="C2" s="293"/>
      <c r="D2" s="293"/>
      <c r="E2" s="293"/>
      <c r="F2" s="293"/>
      <c r="G2" s="38"/>
      <c r="H2" s="38"/>
      <c r="I2" s="38"/>
    </row>
    <row r="3" spans="1:9" ht="12.75">
      <c r="A3" s="39"/>
      <c r="B3" s="40" t="s">
        <v>156</v>
      </c>
      <c r="C3" s="41">
        <v>42369</v>
      </c>
      <c r="D3" s="294" t="s">
        <v>157</v>
      </c>
      <c r="E3" s="296" t="s">
        <v>158</v>
      </c>
      <c r="F3" s="298" t="s">
        <v>159</v>
      </c>
      <c r="G3" s="264">
        <v>2014</v>
      </c>
      <c r="H3" s="300" t="s">
        <v>160</v>
      </c>
      <c r="I3" s="301"/>
    </row>
    <row r="4" spans="1:9" ht="12.75">
      <c r="A4" s="265" t="s">
        <v>161</v>
      </c>
      <c r="B4" s="266"/>
      <c r="C4" s="267" t="s">
        <v>162</v>
      </c>
      <c r="D4" s="295"/>
      <c r="E4" s="297"/>
      <c r="F4" s="299"/>
      <c r="G4" s="268" t="s">
        <v>163</v>
      </c>
      <c r="H4" s="268" t="s">
        <v>164</v>
      </c>
      <c r="I4" s="42" t="s">
        <v>159</v>
      </c>
    </row>
    <row r="5" spans="1:9" ht="13.5" thickBot="1">
      <c r="A5" s="269"/>
      <c r="B5" s="270" t="s">
        <v>165</v>
      </c>
      <c r="C5" s="271"/>
      <c r="D5" s="129">
        <f>D6+D12+D13+D17</f>
        <v>117505655.46000001</v>
      </c>
      <c r="E5" s="130">
        <f>E6+E12+E13+E17</f>
        <v>117510838.02</v>
      </c>
      <c r="F5" s="131">
        <f aca="true" t="shared" si="0" ref="F5:F29">E5/D5</f>
        <v>1.0000441047707849</v>
      </c>
      <c r="G5" s="130">
        <f>SUM(G12:G13,G17,G6)</f>
        <v>109287566.75</v>
      </c>
      <c r="H5" s="130">
        <f>E5-G5</f>
        <v>8223271.269999996</v>
      </c>
      <c r="I5" s="132">
        <f>H5/G5</f>
        <v>0.07524434402324175</v>
      </c>
    </row>
    <row r="6" spans="1:9" ht="12.75">
      <c r="A6" s="43">
        <v>30</v>
      </c>
      <c r="B6" s="44" t="s">
        <v>166</v>
      </c>
      <c r="C6" s="45"/>
      <c r="D6" s="46">
        <f>SUM(D7:D11)</f>
        <v>62230000</v>
      </c>
      <c r="E6" s="133">
        <f>SUM(E7:E11)</f>
        <v>63148782.52</v>
      </c>
      <c r="F6" s="134">
        <f t="shared" si="0"/>
        <v>1.014764302105094</v>
      </c>
      <c r="G6" s="133">
        <f>SUM(G7:G11)</f>
        <v>58993869.38999999</v>
      </c>
      <c r="H6" s="133">
        <f>E6-G6</f>
        <v>4154913.13000001</v>
      </c>
      <c r="I6" s="135">
        <f aca="true" t="shared" si="1" ref="I6:I69">H6/G6</f>
        <v>0.07042957468228565</v>
      </c>
    </row>
    <row r="7" spans="1:9" ht="12.75">
      <c r="A7" s="47">
        <v>3000</v>
      </c>
      <c r="B7" s="48"/>
      <c r="C7" s="49" t="s">
        <v>167</v>
      </c>
      <c r="D7" s="50">
        <v>60450000</v>
      </c>
      <c r="E7" s="136">
        <v>61264504</v>
      </c>
      <c r="F7" s="137">
        <f t="shared" si="0"/>
        <v>1.013474011579818</v>
      </c>
      <c r="G7" s="138">
        <v>57399923</v>
      </c>
      <c r="H7" s="138">
        <f aca="true" t="shared" si="2" ref="H7:H70">E7-G7</f>
        <v>3864581</v>
      </c>
      <c r="I7" s="51">
        <f t="shared" si="1"/>
        <v>0.06732728543904144</v>
      </c>
    </row>
    <row r="8" spans="1:9" ht="12.75">
      <c r="A8" s="47">
        <v>3030</v>
      </c>
      <c r="B8" s="48"/>
      <c r="C8" s="49" t="s">
        <v>168</v>
      </c>
      <c r="D8" s="52">
        <v>700000</v>
      </c>
      <c r="E8" s="139">
        <v>697665</v>
      </c>
      <c r="F8" s="137">
        <f t="shared" si="0"/>
        <v>0.9966642857142857</v>
      </c>
      <c r="G8" s="138">
        <v>696150</v>
      </c>
      <c r="H8" s="138">
        <f t="shared" si="2"/>
        <v>1515</v>
      </c>
      <c r="I8" s="51">
        <f t="shared" si="1"/>
        <v>0.002176255117431588</v>
      </c>
    </row>
    <row r="9" spans="1:9" ht="12.75">
      <c r="A9" s="47">
        <v>3044</v>
      </c>
      <c r="B9" s="48"/>
      <c r="C9" s="49" t="s">
        <v>169</v>
      </c>
      <c r="D9" s="52">
        <v>370000</v>
      </c>
      <c r="E9" s="139">
        <v>389715.92</v>
      </c>
      <c r="F9" s="137">
        <f t="shared" si="0"/>
        <v>1.0532862702702703</v>
      </c>
      <c r="G9" s="138">
        <v>308931.73</v>
      </c>
      <c r="H9" s="138">
        <f t="shared" si="2"/>
        <v>80784.19</v>
      </c>
      <c r="I9" s="51">
        <f t="shared" si="1"/>
        <v>0.26149528246904263</v>
      </c>
    </row>
    <row r="10" spans="1:9" ht="12.75">
      <c r="A10" s="47">
        <v>3045</v>
      </c>
      <c r="B10" s="48"/>
      <c r="C10" s="49" t="s">
        <v>170</v>
      </c>
      <c r="D10" s="52">
        <v>250000</v>
      </c>
      <c r="E10" s="139">
        <v>329889.29</v>
      </c>
      <c r="F10" s="137">
        <f t="shared" si="0"/>
        <v>1.31955716</v>
      </c>
      <c r="G10" s="138">
        <v>136710.01</v>
      </c>
      <c r="H10" s="138">
        <f t="shared" si="2"/>
        <v>193179.27999999997</v>
      </c>
      <c r="I10" s="51">
        <f t="shared" si="1"/>
        <v>1.4130587804067891</v>
      </c>
    </row>
    <row r="11" spans="1:9" ht="12.75">
      <c r="A11" s="47">
        <v>3047</v>
      </c>
      <c r="B11" s="48"/>
      <c r="C11" s="53" t="s">
        <v>171</v>
      </c>
      <c r="D11" s="52">
        <v>460000</v>
      </c>
      <c r="E11" s="139">
        <v>467008.31</v>
      </c>
      <c r="F11" s="137">
        <f t="shared" si="0"/>
        <v>1.0152354565217392</v>
      </c>
      <c r="G11" s="138">
        <v>452154.64999999997</v>
      </c>
      <c r="H11" s="138">
        <f t="shared" si="2"/>
        <v>14853.660000000033</v>
      </c>
      <c r="I11" s="51">
        <f t="shared" si="1"/>
        <v>0.032850839861980924</v>
      </c>
    </row>
    <row r="12" spans="1:9" ht="12.75">
      <c r="A12" s="54">
        <v>32</v>
      </c>
      <c r="B12" s="55" t="s">
        <v>172</v>
      </c>
      <c r="C12" s="56"/>
      <c r="D12" s="57">
        <v>17134722</v>
      </c>
      <c r="E12" s="140">
        <v>16406665.200000001</v>
      </c>
      <c r="F12" s="58">
        <f t="shared" si="0"/>
        <v>0.9575098563023083</v>
      </c>
      <c r="G12" s="141">
        <v>15639957.45</v>
      </c>
      <c r="H12" s="141">
        <f t="shared" si="2"/>
        <v>766707.7500000019</v>
      </c>
      <c r="I12" s="59">
        <f t="shared" si="1"/>
        <v>0.04902236802440929</v>
      </c>
    </row>
    <row r="13" spans="1:9" ht="12.75">
      <c r="A13" s="54" t="s">
        <v>173</v>
      </c>
      <c r="B13" s="55" t="s">
        <v>174</v>
      </c>
      <c r="C13" s="56"/>
      <c r="D13" s="57">
        <f>D14+D15+D16</f>
        <v>37538236.46</v>
      </c>
      <c r="E13" s="142">
        <f>E14+E15+E16</f>
        <v>37167905.33</v>
      </c>
      <c r="F13" s="58">
        <f t="shared" si="0"/>
        <v>0.9901345623842873</v>
      </c>
      <c r="G13" s="60">
        <f>SUM(G14:G16)</f>
        <v>34021263.11</v>
      </c>
      <c r="H13" s="60">
        <f t="shared" si="2"/>
        <v>3146642.219999999</v>
      </c>
      <c r="I13" s="143">
        <f t="shared" si="1"/>
        <v>0.0924904583885098</v>
      </c>
    </row>
    <row r="14" spans="1:9" ht="12.75">
      <c r="A14" s="47" t="s">
        <v>175</v>
      </c>
      <c r="B14" s="48"/>
      <c r="C14" s="49" t="s">
        <v>176</v>
      </c>
      <c r="D14" s="52">
        <v>4918342</v>
      </c>
      <c r="E14" s="139">
        <v>4918342</v>
      </c>
      <c r="F14" s="137">
        <f t="shared" si="0"/>
        <v>1</v>
      </c>
      <c r="G14" s="138">
        <v>5004825</v>
      </c>
      <c r="H14" s="138">
        <f t="shared" si="2"/>
        <v>-86483</v>
      </c>
      <c r="I14" s="51">
        <f t="shared" si="1"/>
        <v>-0.017279924872498038</v>
      </c>
    </row>
    <row r="15" spans="1:9" ht="12.75">
      <c r="A15" s="47" t="s">
        <v>177</v>
      </c>
      <c r="B15" s="48"/>
      <c r="C15" s="53" t="s">
        <v>178</v>
      </c>
      <c r="D15" s="52">
        <v>21195287</v>
      </c>
      <c r="E15" s="139">
        <v>21195287</v>
      </c>
      <c r="F15" s="137">
        <f t="shared" si="0"/>
        <v>1</v>
      </c>
      <c r="G15" s="138">
        <v>18922600</v>
      </c>
      <c r="H15" s="138">
        <f t="shared" si="2"/>
        <v>2272687</v>
      </c>
      <c r="I15" s="51">
        <f t="shared" si="1"/>
        <v>0.12010437254922685</v>
      </c>
    </row>
    <row r="16" spans="1:9" ht="12.75">
      <c r="A16" s="47" t="s">
        <v>179</v>
      </c>
      <c r="B16" s="48"/>
      <c r="C16" s="53" t="s">
        <v>180</v>
      </c>
      <c r="D16" s="52">
        <v>11424607.46</v>
      </c>
      <c r="E16" s="139">
        <v>11054276.33</v>
      </c>
      <c r="F16" s="137">
        <f t="shared" si="0"/>
        <v>0.9675847829961239</v>
      </c>
      <c r="G16" s="138">
        <v>10093838.11</v>
      </c>
      <c r="H16" s="138">
        <f t="shared" si="2"/>
        <v>960438.2200000007</v>
      </c>
      <c r="I16" s="51">
        <f t="shared" si="1"/>
        <v>0.09515094352944806</v>
      </c>
    </row>
    <row r="17" spans="1:9" ht="12.75">
      <c r="A17" s="54" t="s">
        <v>181</v>
      </c>
      <c r="B17" s="55" t="s">
        <v>182</v>
      </c>
      <c r="C17" s="56"/>
      <c r="D17" s="57">
        <f>SUM(D18:D22)</f>
        <v>602697</v>
      </c>
      <c r="E17" s="140">
        <f>SUM(E18:E22)</f>
        <v>787484.97</v>
      </c>
      <c r="F17" s="58">
        <f t="shared" si="0"/>
        <v>1.3066017750212793</v>
      </c>
      <c r="G17" s="60">
        <f>SUM(G18:G22)</f>
        <v>632476.8</v>
      </c>
      <c r="H17" s="60">
        <f t="shared" si="2"/>
        <v>155008.16999999993</v>
      </c>
      <c r="I17" s="143">
        <f t="shared" si="1"/>
        <v>0.24508119507308396</v>
      </c>
    </row>
    <row r="18" spans="1:9" ht="12.75">
      <c r="A18" s="61">
        <v>3818</v>
      </c>
      <c r="B18" s="62"/>
      <c r="C18" s="63" t="s">
        <v>183</v>
      </c>
      <c r="D18" s="64">
        <v>14000</v>
      </c>
      <c r="E18" s="144">
        <v>4469.16</v>
      </c>
      <c r="F18" s="137">
        <f t="shared" si="0"/>
        <v>0.3192257142857143</v>
      </c>
      <c r="G18" s="146">
        <v>0</v>
      </c>
      <c r="H18" s="138">
        <f t="shared" si="2"/>
        <v>4469.16</v>
      </c>
      <c r="I18" s="65" t="s">
        <v>184</v>
      </c>
    </row>
    <row r="19" spans="1:9" ht="12.75">
      <c r="A19" s="47" t="s">
        <v>185</v>
      </c>
      <c r="B19" s="48"/>
      <c r="C19" s="49" t="s">
        <v>186</v>
      </c>
      <c r="D19" s="64">
        <v>0</v>
      </c>
      <c r="E19" s="144">
        <v>0</v>
      </c>
      <c r="F19" s="145" t="s">
        <v>184</v>
      </c>
      <c r="G19" s="138">
        <v>0</v>
      </c>
      <c r="H19" s="138">
        <f t="shared" si="2"/>
        <v>0</v>
      </c>
      <c r="I19" s="65" t="s">
        <v>184</v>
      </c>
    </row>
    <row r="20" spans="1:9" ht="12.75">
      <c r="A20" s="47">
        <v>382540</v>
      </c>
      <c r="B20" s="48"/>
      <c r="C20" s="49" t="s">
        <v>187</v>
      </c>
      <c r="D20" s="64">
        <v>190000</v>
      </c>
      <c r="E20" s="144">
        <v>175988</v>
      </c>
      <c r="F20" s="137">
        <f t="shared" si="0"/>
        <v>0.9262526315789473</v>
      </c>
      <c r="G20" s="138">
        <v>173093</v>
      </c>
      <c r="H20" s="138">
        <f t="shared" si="2"/>
        <v>2895</v>
      </c>
      <c r="I20" s="51">
        <f t="shared" si="1"/>
        <v>0.01672511308949524</v>
      </c>
    </row>
    <row r="21" spans="1:9" ht="12.75">
      <c r="A21" s="47">
        <v>3882</v>
      </c>
      <c r="B21" s="48"/>
      <c r="C21" s="49" t="s">
        <v>188</v>
      </c>
      <c r="D21" s="64">
        <v>5000</v>
      </c>
      <c r="E21" s="144">
        <v>5626</v>
      </c>
      <c r="F21" s="137">
        <f t="shared" si="0"/>
        <v>1.1252</v>
      </c>
      <c r="G21" s="138">
        <v>14312</v>
      </c>
      <c r="H21" s="138">
        <f t="shared" si="2"/>
        <v>-8686</v>
      </c>
      <c r="I21" s="51">
        <f t="shared" si="1"/>
        <v>-0.6069032979318055</v>
      </c>
    </row>
    <row r="22" spans="1:9" ht="13.5" thickBot="1">
      <c r="A22" s="47" t="s">
        <v>189</v>
      </c>
      <c r="B22" s="48"/>
      <c r="C22" s="49" t="s">
        <v>190</v>
      </c>
      <c r="D22" s="64">
        <v>393697</v>
      </c>
      <c r="E22" s="144">
        <v>601401.8099999999</v>
      </c>
      <c r="F22" s="147">
        <f t="shared" si="0"/>
        <v>1.5275752926743154</v>
      </c>
      <c r="G22" s="138">
        <v>445071.80000000005</v>
      </c>
      <c r="H22" s="146">
        <f t="shared" si="2"/>
        <v>156330.0099999999</v>
      </c>
      <c r="I22" s="66">
        <f t="shared" si="1"/>
        <v>0.35124672019211256</v>
      </c>
    </row>
    <row r="23" spans="1:9" ht="13.5" thickBot="1">
      <c r="A23" s="269"/>
      <c r="B23" s="270" t="s">
        <v>191</v>
      </c>
      <c r="C23" s="271"/>
      <c r="D23" s="67">
        <f>D24+D25</f>
        <v>-114030907.46000001</v>
      </c>
      <c r="E23" s="148">
        <f>E24+E25</f>
        <v>-109153592.27</v>
      </c>
      <c r="F23" s="149">
        <f t="shared" si="0"/>
        <v>0.9572281296480002</v>
      </c>
      <c r="G23" s="68">
        <f>SUM(G24:G25)</f>
        <v>-99769278.05</v>
      </c>
      <c r="H23" s="68">
        <f>SUM(H24:H25)</f>
        <v>-9384314.220000006</v>
      </c>
      <c r="I23" s="150">
        <f t="shared" si="1"/>
        <v>0.09406015963448186</v>
      </c>
    </row>
    <row r="24" spans="1:9" ht="12.75">
      <c r="A24" s="272" t="s">
        <v>192</v>
      </c>
      <c r="B24" s="273" t="s">
        <v>193</v>
      </c>
      <c r="C24" s="274"/>
      <c r="D24" s="69">
        <v>-15840953</v>
      </c>
      <c r="E24" s="151">
        <v>-14128648.24</v>
      </c>
      <c r="F24" s="152">
        <f t="shared" si="0"/>
        <v>0.8919064553755067</v>
      </c>
      <c r="G24" s="153">
        <v>-12818807.679999998</v>
      </c>
      <c r="H24" s="153">
        <f>E24-G24</f>
        <v>-1309840.5600000024</v>
      </c>
      <c r="I24" s="154">
        <f t="shared" si="1"/>
        <v>0.10218115387155903</v>
      </c>
    </row>
    <row r="25" spans="1:9" ht="12.75">
      <c r="A25" s="54"/>
      <c r="B25" s="55" t="s">
        <v>194</v>
      </c>
      <c r="C25" s="56"/>
      <c r="D25" s="57">
        <f>D26+D28+D29</f>
        <v>-98189954.46000001</v>
      </c>
      <c r="E25" s="142">
        <f>E26+E28+E29</f>
        <v>-95024944.03</v>
      </c>
      <c r="F25" s="152">
        <f t="shared" si="0"/>
        <v>0.9677664538352613</v>
      </c>
      <c r="G25" s="60">
        <f>SUM(G28:G29,G26)</f>
        <v>-86950470.37</v>
      </c>
      <c r="H25" s="60">
        <f>SUM(H28:H29,H26)</f>
        <v>-8074473.660000004</v>
      </c>
      <c r="I25" s="154">
        <f t="shared" si="1"/>
        <v>0.09286290948905425</v>
      </c>
    </row>
    <row r="26" spans="1:9" ht="12.75">
      <c r="A26" s="47">
        <v>50</v>
      </c>
      <c r="B26" s="48"/>
      <c r="C26" s="49" t="s">
        <v>195</v>
      </c>
      <c r="D26" s="52">
        <v>-53106825</v>
      </c>
      <c r="E26" s="139">
        <v>-52750361.98</v>
      </c>
      <c r="F26" s="137">
        <f t="shared" si="0"/>
        <v>0.9932878115006875</v>
      </c>
      <c r="G26" s="138">
        <v>-48189913.04</v>
      </c>
      <c r="H26" s="138">
        <f t="shared" si="2"/>
        <v>-4560448.939999998</v>
      </c>
      <c r="I26" s="51">
        <f t="shared" si="1"/>
        <v>0.09463492777450336</v>
      </c>
    </row>
    <row r="27" spans="1:9" ht="12.75">
      <c r="A27" s="70">
        <v>500</v>
      </c>
      <c r="B27" s="71"/>
      <c r="C27" s="72" t="s">
        <v>196</v>
      </c>
      <c r="D27" s="73">
        <v>-39518370</v>
      </c>
      <c r="E27" s="155">
        <v>-39293706.05</v>
      </c>
      <c r="F27" s="156">
        <f t="shared" si="0"/>
        <v>0.9943149489718325</v>
      </c>
      <c r="G27" s="157">
        <v>-35755370.88</v>
      </c>
      <c r="H27" s="157">
        <f t="shared" si="2"/>
        <v>-3538335.1699999943</v>
      </c>
      <c r="I27" s="74">
        <f t="shared" si="1"/>
        <v>0.0989595432214964</v>
      </c>
    </row>
    <row r="28" spans="1:9" ht="12.75">
      <c r="A28" s="47">
        <v>55</v>
      </c>
      <c r="B28" s="48"/>
      <c r="C28" s="49" t="s">
        <v>197</v>
      </c>
      <c r="D28" s="52">
        <v>-44819240.46</v>
      </c>
      <c r="E28" s="139">
        <v>-42001916.970000006</v>
      </c>
      <c r="F28" s="137">
        <f t="shared" si="0"/>
        <v>0.937140311591974</v>
      </c>
      <c r="G28" s="138">
        <v>-38543932.68</v>
      </c>
      <c r="H28" s="138">
        <f t="shared" si="2"/>
        <v>-3457984.2900000066</v>
      </c>
      <c r="I28" s="51">
        <f t="shared" si="1"/>
        <v>0.08971539875572465</v>
      </c>
    </row>
    <row r="29" spans="1:9" ht="13.5" thickBot="1">
      <c r="A29" s="75">
        <v>60</v>
      </c>
      <c r="B29" s="76"/>
      <c r="C29" s="77" t="s">
        <v>198</v>
      </c>
      <c r="D29" s="52">
        <v>-263889</v>
      </c>
      <c r="E29" s="139">
        <v>-272665.08</v>
      </c>
      <c r="F29" s="137">
        <f t="shared" si="0"/>
        <v>1.033256710207701</v>
      </c>
      <c r="G29" s="138">
        <v>-216624.65</v>
      </c>
      <c r="H29" s="158">
        <f t="shared" si="2"/>
        <v>-56040.43000000002</v>
      </c>
      <c r="I29" s="78">
        <f t="shared" si="1"/>
        <v>0.2586983060330393</v>
      </c>
    </row>
    <row r="30" spans="1:9" ht="13.5" thickBot="1">
      <c r="A30" s="79"/>
      <c r="B30" s="80" t="s">
        <v>199</v>
      </c>
      <c r="C30" s="81"/>
      <c r="D30" s="82">
        <f>D5+D23</f>
        <v>3474748</v>
      </c>
      <c r="E30" s="159">
        <f>E5+E23</f>
        <v>8357245.75</v>
      </c>
      <c r="F30" s="160"/>
      <c r="G30" s="161">
        <f>G5+G23</f>
        <v>9518288.700000003</v>
      </c>
      <c r="H30" s="161">
        <f>H5+H23</f>
        <v>-1161042.9500000104</v>
      </c>
      <c r="I30" s="162">
        <f t="shared" si="1"/>
        <v>-0.12198022003682343</v>
      </c>
    </row>
    <row r="31" spans="1:9" ht="13.5" thickBot="1">
      <c r="A31" s="83"/>
      <c r="B31" s="84" t="s">
        <v>200</v>
      </c>
      <c r="C31" s="85"/>
      <c r="D31" s="86">
        <f>SUM(D34:D39)</f>
        <v>-14504464</v>
      </c>
      <c r="E31" s="163">
        <f>SUM(E34:E39)</f>
        <v>-14085679.899999999</v>
      </c>
      <c r="F31" s="149">
        <f>E31/D31</f>
        <v>0.97112722676274</v>
      </c>
      <c r="G31" s="87">
        <f>SUM(G32:G33)</f>
        <v>-7712598.359999999</v>
      </c>
      <c r="H31" s="87">
        <f>SUM(H32:H33)</f>
        <v>-6373081.539999997</v>
      </c>
      <c r="I31" s="150">
        <f t="shared" si="1"/>
        <v>0.8263209417273477</v>
      </c>
    </row>
    <row r="32" spans="1:9" ht="12.75">
      <c r="A32" s="70"/>
      <c r="B32" s="88" t="s">
        <v>201</v>
      </c>
      <c r="C32" s="72"/>
      <c r="D32" s="73">
        <f>D34+D36+D38</f>
        <v>13733135</v>
      </c>
      <c r="E32" s="155">
        <f>E34+E36+E38</f>
        <v>10644533.87</v>
      </c>
      <c r="F32" s="156">
        <f>E32/D32</f>
        <v>0.7750986114969378</v>
      </c>
      <c r="G32" s="157">
        <f>SUM(G34,G36,G38)</f>
        <v>16698921.739999998</v>
      </c>
      <c r="H32" s="157">
        <f t="shared" si="2"/>
        <v>-6054387.869999999</v>
      </c>
      <c r="I32" s="74">
        <f t="shared" si="1"/>
        <v>-0.3625616051303202</v>
      </c>
    </row>
    <row r="33" spans="1:9" ht="12.75">
      <c r="A33" s="70"/>
      <c r="B33" s="88" t="s">
        <v>202</v>
      </c>
      <c r="C33" s="72"/>
      <c r="D33" s="73">
        <f>D35+D37+D39</f>
        <v>-28237599</v>
      </c>
      <c r="E33" s="155">
        <f>E35+E37+E39</f>
        <v>-24730213.769999996</v>
      </c>
      <c r="F33" s="156">
        <f>E33/D33</f>
        <v>0.8757902458349945</v>
      </c>
      <c r="G33" s="157">
        <f>SUM(G35,G37,G39)</f>
        <v>-24411520.099999998</v>
      </c>
      <c r="H33" s="157">
        <f t="shared" si="2"/>
        <v>-318693.66999999806</v>
      </c>
      <c r="I33" s="74">
        <f t="shared" si="1"/>
        <v>0.013055052233310046</v>
      </c>
    </row>
    <row r="34" spans="1:9" ht="12.75">
      <c r="A34" s="47">
        <v>381</v>
      </c>
      <c r="B34" s="48"/>
      <c r="C34" s="49" t="s">
        <v>203</v>
      </c>
      <c r="D34" s="52">
        <v>539290</v>
      </c>
      <c r="E34" s="139">
        <v>800725.8700000001</v>
      </c>
      <c r="F34" s="137">
        <f>E34/D34</f>
        <v>1.4847778931558162</v>
      </c>
      <c r="G34" s="138">
        <v>372077.52999999997</v>
      </c>
      <c r="H34" s="138">
        <f t="shared" si="2"/>
        <v>428648.34000000014</v>
      </c>
      <c r="I34" s="51">
        <f t="shared" si="1"/>
        <v>1.1520403825514542</v>
      </c>
    </row>
    <row r="35" spans="1:9" ht="12.75">
      <c r="A35" s="47">
        <v>15</v>
      </c>
      <c r="B35" s="48"/>
      <c r="C35" s="49" t="s">
        <v>204</v>
      </c>
      <c r="D35" s="52">
        <v>-26240232</v>
      </c>
      <c r="E35" s="139">
        <v>-22794392.58</v>
      </c>
      <c r="F35" s="137">
        <f>E35/D35</f>
        <v>0.868681061204032</v>
      </c>
      <c r="G35" s="138">
        <v>-22356121.45</v>
      </c>
      <c r="H35" s="138">
        <f t="shared" si="2"/>
        <v>-438271.12999999896</v>
      </c>
      <c r="I35" s="51">
        <f t="shared" si="1"/>
        <v>0.019604077164288216</v>
      </c>
    </row>
    <row r="36" spans="1:9" ht="12.75">
      <c r="A36" s="47">
        <v>3502</v>
      </c>
      <c r="B36" s="48"/>
      <c r="C36" s="49" t="s">
        <v>205</v>
      </c>
      <c r="D36" s="52">
        <v>13178845</v>
      </c>
      <c r="E36" s="139">
        <v>9834303.74</v>
      </c>
      <c r="F36" s="137">
        <f aca="true" t="shared" si="3" ref="F36:F49">E36/D36</f>
        <v>0.7462189395201173</v>
      </c>
      <c r="G36" s="138">
        <v>15976697.649999999</v>
      </c>
      <c r="H36" s="138">
        <f t="shared" si="2"/>
        <v>-6142393.909999998</v>
      </c>
      <c r="I36" s="51">
        <f t="shared" si="1"/>
        <v>-0.3844595450549819</v>
      </c>
    </row>
    <row r="37" spans="1:9" ht="12.75">
      <c r="A37" s="47">
        <v>4502</v>
      </c>
      <c r="B37" s="48"/>
      <c r="C37" s="49" t="s">
        <v>206</v>
      </c>
      <c r="D37" s="52">
        <v>-1326917</v>
      </c>
      <c r="E37" s="139">
        <v>-1296718.31</v>
      </c>
      <c r="F37" s="137">
        <f t="shared" si="3"/>
        <v>0.9772414627290178</v>
      </c>
      <c r="G37" s="138">
        <v>-1172141</v>
      </c>
      <c r="H37" s="138">
        <f t="shared" si="2"/>
        <v>-124577.31000000006</v>
      </c>
      <c r="I37" s="51">
        <f t="shared" si="1"/>
        <v>0.10628184663790453</v>
      </c>
    </row>
    <row r="38" spans="1:9" ht="12.75">
      <c r="A38" s="89">
        <v>382</v>
      </c>
      <c r="B38" s="90"/>
      <c r="C38" s="49" t="s">
        <v>207</v>
      </c>
      <c r="D38" s="52">
        <v>15000</v>
      </c>
      <c r="E38" s="139">
        <v>9504.26</v>
      </c>
      <c r="F38" s="137">
        <f t="shared" si="3"/>
        <v>0.6336173333333334</v>
      </c>
      <c r="G38" s="138">
        <v>350146.56</v>
      </c>
      <c r="H38" s="138">
        <f t="shared" si="2"/>
        <v>-340642.3</v>
      </c>
      <c r="I38" s="51">
        <f t="shared" si="1"/>
        <v>-0.9728563376432999</v>
      </c>
    </row>
    <row r="39" spans="1:9" ht="13.5" thickBot="1">
      <c r="A39" s="75">
        <v>65</v>
      </c>
      <c r="B39" s="76"/>
      <c r="C39" s="77" t="s">
        <v>208</v>
      </c>
      <c r="D39" s="52">
        <v>-670450</v>
      </c>
      <c r="E39" s="139">
        <v>-639102.88</v>
      </c>
      <c r="F39" s="137">
        <f t="shared" si="3"/>
        <v>0.9532446565739429</v>
      </c>
      <c r="G39" s="138">
        <v>-883257.6499999999</v>
      </c>
      <c r="H39" s="158">
        <f t="shared" si="2"/>
        <v>244154.7699999999</v>
      </c>
      <c r="I39" s="78">
        <f t="shared" si="1"/>
        <v>-0.2764253103270602</v>
      </c>
    </row>
    <row r="40" spans="1:9" ht="13.5" thickBot="1">
      <c r="A40" s="91"/>
      <c r="B40" s="92" t="s">
        <v>209</v>
      </c>
      <c r="C40" s="93"/>
      <c r="D40" s="82">
        <f>D30+D31</f>
        <v>-11029716</v>
      </c>
      <c r="E40" s="164">
        <f>E30+E31</f>
        <v>-5728434.1499999985</v>
      </c>
      <c r="F40" s="160">
        <f t="shared" si="3"/>
        <v>0.5193637034716033</v>
      </c>
      <c r="G40" s="94">
        <f>G30+G31</f>
        <v>1805690.3400000036</v>
      </c>
      <c r="H40" s="94">
        <f>H30+H31</f>
        <v>-7534124.490000008</v>
      </c>
      <c r="I40" s="162">
        <f t="shared" si="1"/>
        <v>-4.172434399798579</v>
      </c>
    </row>
    <row r="41" spans="1:9" ht="13.5" thickBot="1">
      <c r="A41" s="95"/>
      <c r="B41" s="84" t="s">
        <v>210</v>
      </c>
      <c r="C41" s="85"/>
      <c r="D41" s="86">
        <f>D42+D46</f>
        <v>2943609</v>
      </c>
      <c r="E41" s="165">
        <f>E42+E46</f>
        <v>2943619.6800000006</v>
      </c>
      <c r="F41" s="149">
        <f t="shared" si="3"/>
        <v>1.0000036281992617</v>
      </c>
      <c r="G41" s="87">
        <f>G42+G46</f>
        <v>1304491.6899999995</v>
      </c>
      <c r="H41" s="87">
        <f>E41-G41</f>
        <v>1639127.9900000012</v>
      </c>
      <c r="I41" s="150">
        <f t="shared" si="1"/>
        <v>1.2565262029380975</v>
      </c>
    </row>
    <row r="42" spans="1:9" ht="12.75">
      <c r="A42" s="96" t="s">
        <v>211</v>
      </c>
      <c r="B42" s="97"/>
      <c r="C42" s="275" t="s">
        <v>212</v>
      </c>
      <c r="D42" s="166">
        <f>SUM(D43:D45)</f>
        <v>10885000</v>
      </c>
      <c r="E42" s="167">
        <f>SUM(E43:E45)</f>
        <v>10885000</v>
      </c>
      <c r="F42" s="137">
        <f t="shared" si="3"/>
        <v>1</v>
      </c>
      <c r="G42" s="168">
        <f>SUM(G43:G45)</f>
        <v>10126000</v>
      </c>
      <c r="H42" s="138">
        <f t="shared" si="2"/>
        <v>759000</v>
      </c>
      <c r="I42" s="65">
        <f>H42/G42</f>
        <v>0.07495555994469683</v>
      </c>
    </row>
    <row r="43" spans="1:9" ht="12.75">
      <c r="A43" s="98" t="s">
        <v>213</v>
      </c>
      <c r="B43" s="99"/>
      <c r="C43" s="100" t="s">
        <v>214</v>
      </c>
      <c r="D43" s="73">
        <v>10885000</v>
      </c>
      <c r="E43" s="155">
        <v>10885000</v>
      </c>
      <c r="F43" s="169">
        <f>E43/D43</f>
        <v>1</v>
      </c>
      <c r="G43" s="157">
        <v>10126000</v>
      </c>
      <c r="H43" s="157">
        <f t="shared" si="2"/>
        <v>759000</v>
      </c>
      <c r="I43" s="101">
        <f>H43/G43</f>
        <v>0.07495555994469683</v>
      </c>
    </row>
    <row r="44" spans="1:9" ht="12.75">
      <c r="A44" s="98" t="s">
        <v>215</v>
      </c>
      <c r="B44" s="99"/>
      <c r="C44" s="100" t="s">
        <v>216</v>
      </c>
      <c r="D44" s="73">
        <v>0</v>
      </c>
      <c r="E44" s="155">
        <v>0</v>
      </c>
      <c r="F44" s="169" t="s">
        <v>184</v>
      </c>
      <c r="G44" s="157">
        <v>0</v>
      </c>
      <c r="H44" s="157">
        <f t="shared" si="2"/>
        <v>0</v>
      </c>
      <c r="I44" s="101" t="s">
        <v>184</v>
      </c>
    </row>
    <row r="45" spans="1:9" ht="12.75">
      <c r="A45" s="98" t="s">
        <v>217</v>
      </c>
      <c r="B45" s="99"/>
      <c r="C45" s="100" t="s">
        <v>218</v>
      </c>
      <c r="D45" s="73">
        <v>0</v>
      </c>
      <c r="E45" s="155">
        <v>0</v>
      </c>
      <c r="F45" s="169" t="s">
        <v>184</v>
      </c>
      <c r="G45" s="157">
        <v>0</v>
      </c>
      <c r="H45" s="157">
        <f t="shared" si="2"/>
        <v>0</v>
      </c>
      <c r="I45" s="101" t="s">
        <v>184</v>
      </c>
    </row>
    <row r="46" spans="1:9" ht="12.75">
      <c r="A46" s="102" t="s">
        <v>219</v>
      </c>
      <c r="B46" s="103"/>
      <c r="C46" s="275" t="s">
        <v>220</v>
      </c>
      <c r="D46" s="166">
        <f>SUM(D47:D49)</f>
        <v>-7941391</v>
      </c>
      <c r="E46" s="167">
        <f>SUM(E47:E49)</f>
        <v>-7941380.319999999</v>
      </c>
      <c r="F46" s="137">
        <f t="shared" si="3"/>
        <v>0.999998655147442</v>
      </c>
      <c r="G46" s="168">
        <f>SUM(G47:G49)</f>
        <v>-8821508.31</v>
      </c>
      <c r="H46" s="138">
        <f t="shared" si="2"/>
        <v>880127.9900000012</v>
      </c>
      <c r="I46" s="51">
        <f t="shared" si="1"/>
        <v>-0.09977069216182613</v>
      </c>
    </row>
    <row r="47" spans="1:9" ht="12.75">
      <c r="A47" s="98" t="s">
        <v>221</v>
      </c>
      <c r="B47" s="99"/>
      <c r="C47" s="100" t="s">
        <v>214</v>
      </c>
      <c r="D47" s="73">
        <v>-7612793</v>
      </c>
      <c r="E47" s="155">
        <v>-7612792.81</v>
      </c>
      <c r="F47" s="169">
        <f>E47/D47</f>
        <v>0.9999999750420114</v>
      </c>
      <c r="G47" s="157">
        <v>-8551450.81</v>
      </c>
      <c r="H47" s="157">
        <f t="shared" si="2"/>
        <v>938658.0000000009</v>
      </c>
      <c r="I47" s="101">
        <f>H47/G47</f>
        <v>-0.10976593572898082</v>
      </c>
    </row>
    <row r="48" spans="1:9" ht="12.75">
      <c r="A48" s="98" t="s">
        <v>222</v>
      </c>
      <c r="B48" s="99"/>
      <c r="C48" s="100" t="s">
        <v>216</v>
      </c>
      <c r="D48" s="73">
        <v>0</v>
      </c>
      <c r="E48" s="155">
        <v>0</v>
      </c>
      <c r="F48" s="169" t="s">
        <v>184</v>
      </c>
      <c r="G48" s="157">
        <v>0</v>
      </c>
      <c r="H48" s="157">
        <f t="shared" si="2"/>
        <v>0</v>
      </c>
      <c r="I48" s="101" t="s">
        <v>184</v>
      </c>
    </row>
    <row r="49" spans="1:9" ht="13.5" thickBot="1">
      <c r="A49" s="98" t="s">
        <v>223</v>
      </c>
      <c r="B49" s="104"/>
      <c r="C49" s="100" t="s">
        <v>218</v>
      </c>
      <c r="D49" s="73">
        <v>-328598</v>
      </c>
      <c r="E49" s="155">
        <v>-328587.51</v>
      </c>
      <c r="F49" s="156">
        <f t="shared" si="3"/>
        <v>0.9999680764946836</v>
      </c>
      <c r="G49" s="157">
        <v>-270057.5</v>
      </c>
      <c r="H49" s="157">
        <f t="shared" si="2"/>
        <v>-58530.01000000001</v>
      </c>
      <c r="I49" s="74">
        <f t="shared" si="1"/>
        <v>0.21673165899854663</v>
      </c>
    </row>
    <row r="50" spans="1:9" ht="13.5" thickBot="1">
      <c r="A50" s="83">
        <v>1001</v>
      </c>
      <c r="B50" s="105" t="s">
        <v>224</v>
      </c>
      <c r="C50" s="106"/>
      <c r="D50" s="107">
        <f>D5+D23+D31+D41</f>
        <v>-8086107</v>
      </c>
      <c r="E50" s="170">
        <f>E5+E23+E31+E41</f>
        <v>-2784814.469999998</v>
      </c>
      <c r="F50" s="149"/>
      <c r="G50" s="171">
        <v>9654845.18000001</v>
      </c>
      <c r="H50" s="87">
        <f>E50-G50</f>
        <v>-12439659.65000001</v>
      </c>
      <c r="I50" s="150"/>
    </row>
    <row r="51" spans="1:9" ht="13.5" thickBot="1">
      <c r="A51" s="108"/>
      <c r="B51" s="109"/>
      <c r="C51" s="110"/>
      <c r="D51" s="111"/>
      <c r="E51" s="172"/>
      <c r="F51" s="173"/>
      <c r="G51" s="174"/>
      <c r="H51" s="175"/>
      <c r="I51" s="176"/>
    </row>
    <row r="52" spans="1:9" ht="12.75">
      <c r="A52" s="112"/>
      <c r="B52" s="302" t="s">
        <v>225</v>
      </c>
      <c r="C52" s="303"/>
      <c r="D52" s="113">
        <f>SUM(D53:D61)</f>
        <v>112913704.46000001</v>
      </c>
      <c r="E52" s="177">
        <f>SUM(E53:E61)</f>
        <v>107963606.79000005</v>
      </c>
      <c r="F52" s="178">
        <f>E52/D52</f>
        <v>0.9561603465790679</v>
      </c>
      <c r="G52" s="179">
        <f>SUM(G53:G61)</f>
        <v>99551236.92</v>
      </c>
      <c r="H52" s="179">
        <f>SUM(H53:H61)</f>
        <v>8412369.870000046</v>
      </c>
      <c r="I52" s="180">
        <f t="shared" si="1"/>
        <v>0.08450291659118489</v>
      </c>
    </row>
    <row r="53" spans="1:9" ht="12.75">
      <c r="A53" s="114" t="s">
        <v>226</v>
      </c>
      <c r="B53" s="115" t="s">
        <v>10</v>
      </c>
      <c r="C53" s="116"/>
      <c r="D53" s="117">
        <v>8143520</v>
      </c>
      <c r="E53" s="181">
        <v>7826218.780000001</v>
      </c>
      <c r="F53" s="276">
        <f aca="true" t="shared" si="4" ref="F53:F60">E53/D53</f>
        <v>0.9610363552861664</v>
      </c>
      <c r="G53" s="181">
        <v>7247134.920000001</v>
      </c>
      <c r="H53" s="181">
        <f t="shared" si="2"/>
        <v>579083.8600000003</v>
      </c>
      <c r="I53" s="118">
        <f t="shared" si="1"/>
        <v>0.07990521307970906</v>
      </c>
    </row>
    <row r="54" spans="1:9" ht="12.75">
      <c r="A54" s="119" t="s">
        <v>227</v>
      </c>
      <c r="B54" s="120" t="s">
        <v>228</v>
      </c>
      <c r="C54" s="121"/>
      <c r="D54" s="117">
        <v>398934</v>
      </c>
      <c r="E54" s="181">
        <v>397728.36</v>
      </c>
      <c r="F54" s="276">
        <f t="shared" si="4"/>
        <v>0.996977845959482</v>
      </c>
      <c r="G54" s="181">
        <v>270481.83</v>
      </c>
      <c r="H54" s="181">
        <f t="shared" si="2"/>
        <v>127246.52999999997</v>
      </c>
      <c r="I54" s="118">
        <f t="shared" si="1"/>
        <v>0.4704439111492257</v>
      </c>
    </row>
    <row r="55" spans="1:9" ht="12.75">
      <c r="A55" s="119" t="s">
        <v>229</v>
      </c>
      <c r="B55" s="120" t="s">
        <v>25</v>
      </c>
      <c r="C55" s="121"/>
      <c r="D55" s="117">
        <v>12513628</v>
      </c>
      <c r="E55" s="181">
        <v>12028430.580000004</v>
      </c>
      <c r="F55" s="276">
        <f t="shared" si="4"/>
        <v>0.9612264788437057</v>
      </c>
      <c r="G55" s="181">
        <v>11772734.920000002</v>
      </c>
      <c r="H55" s="181">
        <f t="shared" si="2"/>
        <v>255695.660000002</v>
      </c>
      <c r="I55" s="118">
        <f t="shared" si="1"/>
        <v>0.02171930836271662</v>
      </c>
    </row>
    <row r="56" spans="1:9" ht="12.75">
      <c r="A56" s="119" t="s">
        <v>230</v>
      </c>
      <c r="B56" s="120" t="s">
        <v>69</v>
      </c>
      <c r="C56" s="121"/>
      <c r="D56" s="117">
        <v>4841245</v>
      </c>
      <c r="E56" s="181">
        <v>4755648.300000001</v>
      </c>
      <c r="F56" s="276">
        <f t="shared" si="4"/>
        <v>0.9823192794415487</v>
      </c>
      <c r="G56" s="181">
        <v>4259594.42</v>
      </c>
      <c r="H56" s="181">
        <f t="shared" si="2"/>
        <v>496053.8800000008</v>
      </c>
      <c r="I56" s="118">
        <f t="shared" si="1"/>
        <v>0.11645566011423239</v>
      </c>
    </row>
    <row r="57" spans="1:9" ht="12.75">
      <c r="A57" s="119" t="s">
        <v>231</v>
      </c>
      <c r="B57" s="120" t="s">
        <v>232</v>
      </c>
      <c r="C57" s="121"/>
      <c r="D57" s="117">
        <v>2323729.46</v>
      </c>
      <c r="E57" s="181">
        <v>2200234.65</v>
      </c>
      <c r="F57" s="276">
        <f t="shared" si="4"/>
        <v>0.9468549105540023</v>
      </c>
      <c r="G57" s="181">
        <v>2184231.82</v>
      </c>
      <c r="H57" s="181">
        <f t="shared" si="2"/>
        <v>16002.830000000075</v>
      </c>
      <c r="I57" s="118">
        <f t="shared" si="1"/>
        <v>0.007326525441791282</v>
      </c>
    </row>
    <row r="58" spans="1:9" ht="12.75">
      <c r="A58" s="119" t="s">
        <v>233</v>
      </c>
      <c r="B58" s="120" t="s">
        <v>234</v>
      </c>
      <c r="C58" s="121"/>
      <c r="D58" s="117">
        <v>432406</v>
      </c>
      <c r="E58" s="181">
        <v>352742.37</v>
      </c>
      <c r="F58" s="276">
        <f t="shared" si="4"/>
        <v>0.8157665943580801</v>
      </c>
      <c r="G58" s="181">
        <v>429838.38</v>
      </c>
      <c r="H58" s="181">
        <f t="shared" si="2"/>
        <v>-77096.01000000001</v>
      </c>
      <c r="I58" s="118">
        <f t="shared" si="1"/>
        <v>-0.1793604610179296</v>
      </c>
    </row>
    <row r="59" spans="1:9" ht="12.75">
      <c r="A59" s="119" t="s">
        <v>235</v>
      </c>
      <c r="B59" s="120" t="s">
        <v>236</v>
      </c>
      <c r="C59" s="121"/>
      <c r="D59" s="117">
        <v>9750060</v>
      </c>
      <c r="E59" s="181">
        <v>9540597.000000002</v>
      </c>
      <c r="F59" s="276">
        <f t="shared" si="4"/>
        <v>0.9785167475892458</v>
      </c>
      <c r="G59" s="181">
        <v>8982593.500000002</v>
      </c>
      <c r="H59" s="181">
        <f t="shared" si="2"/>
        <v>558003.5</v>
      </c>
      <c r="I59" s="118">
        <f t="shared" si="1"/>
        <v>0.06212053345172526</v>
      </c>
    </row>
    <row r="60" spans="1:9" ht="12.75">
      <c r="A60" s="119" t="s">
        <v>237</v>
      </c>
      <c r="B60" s="120" t="s">
        <v>117</v>
      </c>
      <c r="C60" s="121"/>
      <c r="D60" s="117">
        <v>64389528</v>
      </c>
      <c r="E60" s="181">
        <v>61867343.73000003</v>
      </c>
      <c r="F60" s="276">
        <f t="shared" si="4"/>
        <v>0.960829278481433</v>
      </c>
      <c r="G60" s="181">
        <v>55672645.51999999</v>
      </c>
      <c r="H60" s="181">
        <f t="shared" si="2"/>
        <v>6194698.210000038</v>
      </c>
      <c r="I60" s="118">
        <f t="shared" si="1"/>
        <v>0.11127005286239969</v>
      </c>
    </row>
    <row r="61" spans="1:9" ht="12.75">
      <c r="A61" s="119" t="s">
        <v>238</v>
      </c>
      <c r="B61" s="120" t="s">
        <v>139</v>
      </c>
      <c r="C61" s="121"/>
      <c r="D61" s="117">
        <v>10120654</v>
      </c>
      <c r="E61" s="181">
        <v>8994663.020000003</v>
      </c>
      <c r="F61" s="276">
        <f>E61/D61</f>
        <v>0.8887432590818739</v>
      </c>
      <c r="G61" s="181">
        <v>8731981.61</v>
      </c>
      <c r="H61" s="181">
        <f t="shared" si="2"/>
        <v>262681.4100000039</v>
      </c>
      <c r="I61" s="118">
        <f t="shared" si="1"/>
        <v>0.030082680167257462</v>
      </c>
    </row>
    <row r="62" spans="1:9" ht="12.75">
      <c r="A62" s="122"/>
      <c r="B62" s="290" t="s">
        <v>239</v>
      </c>
      <c r="C62" s="291"/>
      <c r="D62" s="113">
        <f>SUM(D63:D71)</f>
        <v>29354802</v>
      </c>
      <c r="E62" s="182">
        <f>SUM(E63:E71)</f>
        <v>25920199.25</v>
      </c>
      <c r="F62" s="277">
        <f>E62/D62</f>
        <v>0.8829969028576653</v>
      </c>
      <c r="G62" s="182">
        <f>SUM(G63:G71)</f>
        <v>24629674</v>
      </c>
      <c r="H62" s="182">
        <f>SUM(H63:H71)</f>
        <v>1290525.2500000005</v>
      </c>
      <c r="I62" s="123">
        <f t="shared" si="1"/>
        <v>0.05239717139577245</v>
      </c>
    </row>
    <row r="63" spans="1:9" ht="12.75">
      <c r="A63" s="119" t="s">
        <v>226</v>
      </c>
      <c r="B63" s="120" t="s">
        <v>10</v>
      </c>
      <c r="C63" s="124"/>
      <c r="D63" s="117">
        <v>873950</v>
      </c>
      <c r="E63" s="181">
        <v>827240.7500000001</v>
      </c>
      <c r="F63" s="276">
        <f aca="true" t="shared" si="5" ref="F63:F71">E63/D63</f>
        <v>0.9465538646375652</v>
      </c>
      <c r="G63" s="181">
        <v>910135</v>
      </c>
      <c r="H63" s="181">
        <f t="shared" si="2"/>
        <v>-82894.24999999988</v>
      </c>
      <c r="I63" s="118">
        <f t="shared" si="1"/>
        <v>-0.0910790706873155</v>
      </c>
    </row>
    <row r="64" spans="1:9" ht="12.75">
      <c r="A64" s="119" t="s">
        <v>227</v>
      </c>
      <c r="B64" s="120" t="s">
        <v>228</v>
      </c>
      <c r="C64" s="121"/>
      <c r="D64" s="117">
        <v>5500</v>
      </c>
      <c r="E64" s="181">
        <v>5500</v>
      </c>
      <c r="F64" s="276">
        <f t="shared" si="5"/>
        <v>1</v>
      </c>
      <c r="G64" s="181">
        <v>30000</v>
      </c>
      <c r="H64" s="181">
        <f t="shared" si="2"/>
        <v>-24500</v>
      </c>
      <c r="I64" s="118">
        <f t="shared" si="1"/>
        <v>-0.8166666666666667</v>
      </c>
    </row>
    <row r="65" spans="1:9" ht="12.75">
      <c r="A65" s="119" t="s">
        <v>229</v>
      </c>
      <c r="B65" s="120" t="s">
        <v>25</v>
      </c>
      <c r="C65" s="121"/>
      <c r="D65" s="117">
        <v>12520806</v>
      </c>
      <c r="E65" s="181">
        <v>10141990.500000002</v>
      </c>
      <c r="F65" s="276">
        <f t="shared" si="5"/>
        <v>0.8100109929025338</v>
      </c>
      <c r="G65" s="181">
        <v>17503070</v>
      </c>
      <c r="H65" s="181">
        <f t="shared" si="2"/>
        <v>-7361079.499999998</v>
      </c>
      <c r="I65" s="118">
        <f t="shared" si="1"/>
        <v>-0.4205593361621703</v>
      </c>
    </row>
    <row r="66" spans="1:9" ht="12.75">
      <c r="A66" s="119" t="s">
        <v>230</v>
      </c>
      <c r="B66" s="120" t="s">
        <v>69</v>
      </c>
      <c r="C66" s="121"/>
      <c r="D66" s="117">
        <v>680586</v>
      </c>
      <c r="E66" s="181">
        <v>676476.94</v>
      </c>
      <c r="F66" s="276">
        <f t="shared" si="5"/>
        <v>0.9939624676381823</v>
      </c>
      <c r="G66" s="181">
        <v>350826</v>
      </c>
      <c r="H66" s="181">
        <f t="shared" si="2"/>
        <v>325650.93999999994</v>
      </c>
      <c r="I66" s="118">
        <f t="shared" si="1"/>
        <v>0.9282406093048974</v>
      </c>
    </row>
    <row r="67" spans="1:9" ht="12.75">
      <c r="A67" s="119" t="s">
        <v>231</v>
      </c>
      <c r="B67" s="120" t="s">
        <v>232</v>
      </c>
      <c r="C67" s="121"/>
      <c r="D67" s="117">
        <v>567992</v>
      </c>
      <c r="E67" s="181">
        <v>531927.14</v>
      </c>
      <c r="F67" s="276">
        <f t="shared" si="5"/>
        <v>0.9365046338680827</v>
      </c>
      <c r="G67" s="181">
        <v>263149</v>
      </c>
      <c r="H67" s="181">
        <f t="shared" si="2"/>
        <v>268778.14</v>
      </c>
      <c r="I67" s="118">
        <f t="shared" si="1"/>
        <v>1.02139145503118</v>
      </c>
    </row>
    <row r="68" spans="1:9" ht="12.75">
      <c r="A68" s="119" t="s">
        <v>233</v>
      </c>
      <c r="B68" s="120" t="s">
        <v>234</v>
      </c>
      <c r="C68" s="121"/>
      <c r="D68" s="117">
        <v>0</v>
      </c>
      <c r="E68" s="181">
        <v>0</v>
      </c>
      <c r="F68" s="278" t="s">
        <v>184</v>
      </c>
      <c r="G68" s="181"/>
      <c r="H68" s="181">
        <f t="shared" si="2"/>
        <v>0</v>
      </c>
      <c r="I68" s="125" t="s">
        <v>184</v>
      </c>
    </row>
    <row r="69" spans="1:9" ht="12.75">
      <c r="A69" s="119" t="s">
        <v>235</v>
      </c>
      <c r="B69" s="120" t="s">
        <v>236</v>
      </c>
      <c r="C69" s="121"/>
      <c r="D69" s="117">
        <v>1410799</v>
      </c>
      <c r="E69" s="181">
        <v>1397851.28</v>
      </c>
      <c r="F69" s="276">
        <f t="shared" si="5"/>
        <v>0.990822420486547</v>
      </c>
      <c r="G69" s="181">
        <v>749684</v>
      </c>
      <c r="H69" s="181">
        <f t="shared" si="2"/>
        <v>648167.28</v>
      </c>
      <c r="I69" s="118">
        <f t="shared" si="1"/>
        <v>0.8645873194572647</v>
      </c>
    </row>
    <row r="70" spans="1:9" ht="12.75">
      <c r="A70" s="119" t="s">
        <v>237</v>
      </c>
      <c r="B70" s="120" t="s">
        <v>117</v>
      </c>
      <c r="C70" s="121"/>
      <c r="D70" s="117">
        <v>12744399</v>
      </c>
      <c r="E70" s="181">
        <v>11796776.62</v>
      </c>
      <c r="F70" s="276">
        <f t="shared" si="5"/>
        <v>0.9256440119302605</v>
      </c>
      <c r="G70" s="181">
        <v>4490917</v>
      </c>
      <c r="H70" s="181">
        <f t="shared" si="2"/>
        <v>7305859.619999999</v>
      </c>
      <c r="I70" s="118">
        <f>H70/G70</f>
        <v>1.626807981532502</v>
      </c>
    </row>
    <row r="71" spans="1:9" ht="13.5" thickBot="1">
      <c r="A71" s="126" t="s">
        <v>238</v>
      </c>
      <c r="B71" s="127" t="s">
        <v>139</v>
      </c>
      <c r="C71" s="128"/>
      <c r="D71" s="117">
        <v>550770</v>
      </c>
      <c r="E71" s="181">
        <v>542436.02</v>
      </c>
      <c r="F71" s="276">
        <f t="shared" si="5"/>
        <v>0.9848684932004286</v>
      </c>
      <c r="G71" s="181">
        <v>331893</v>
      </c>
      <c r="H71" s="181">
        <f>E71-G71</f>
        <v>210543.02000000002</v>
      </c>
      <c r="I71" s="118">
        <f>H71/G71</f>
        <v>0.634370173519779</v>
      </c>
    </row>
  </sheetData>
  <sheetProtection/>
  <mergeCells count="7">
    <mergeCell ref="B62:C62"/>
    <mergeCell ref="A2:F2"/>
    <mergeCell ref="D3:D4"/>
    <mergeCell ref="E3:E4"/>
    <mergeCell ref="F3:F4"/>
    <mergeCell ref="H3:I3"/>
    <mergeCell ref="B52:C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7"/>
  <sheetViews>
    <sheetView workbookViewId="0" topLeftCell="A1">
      <selection activeCell="F29" sqref="F29"/>
    </sheetView>
  </sheetViews>
  <sheetFormatPr defaultColWidth="9.140625" defaultRowHeight="15"/>
  <cols>
    <col min="1" max="1" width="5.57421875" style="17" customWidth="1"/>
    <col min="2" max="2" width="56.140625" style="28" customWidth="1"/>
    <col min="3" max="3" width="4.421875" style="0" customWidth="1"/>
    <col min="4" max="4" width="13.00390625" style="0" hidden="1" customWidth="1"/>
    <col min="5" max="5" width="11.8515625" style="0" bestFit="1" customWidth="1"/>
    <col min="6" max="6" width="11.28125" style="0" customWidth="1"/>
    <col min="7" max="7" width="10.7109375" style="0" hidden="1" customWidth="1"/>
    <col min="8" max="8" width="8.7109375" style="0" customWidth="1"/>
    <col min="9" max="9" width="9.8515625" style="0" bestFit="1" customWidth="1"/>
    <col min="10" max="10" width="10.140625" style="0" hidden="1" customWidth="1"/>
    <col min="11" max="11" width="9.8515625" style="0" bestFit="1" customWidth="1"/>
    <col min="12" max="12" width="11.7109375" style="0" customWidth="1"/>
  </cols>
  <sheetData>
    <row r="1" spans="1:18" ht="15">
      <c r="A1" s="18"/>
      <c r="B1" s="19" t="s">
        <v>0</v>
      </c>
      <c r="C1" s="19"/>
      <c r="D1" s="19"/>
      <c r="E1" s="19"/>
      <c r="F1" s="19"/>
      <c r="G1" s="255"/>
      <c r="H1" s="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5">
      <c r="A2" s="18"/>
      <c r="B2" s="21"/>
      <c r="C2" s="7"/>
      <c r="D2" s="7"/>
      <c r="E2" s="8"/>
      <c r="G2" s="6"/>
      <c r="H2" s="183">
        <v>42369</v>
      </c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5" customHeight="1">
      <c r="A3" s="18"/>
      <c r="B3" s="304"/>
      <c r="C3" s="9"/>
      <c r="D3" s="306" t="s">
        <v>151</v>
      </c>
      <c r="E3" s="306"/>
      <c r="F3" s="307" t="s">
        <v>148</v>
      </c>
      <c r="G3" s="256"/>
      <c r="H3" s="309" t="s">
        <v>152</v>
      </c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pans="1:18" ht="15">
      <c r="A4" s="18"/>
      <c r="B4" s="305"/>
      <c r="C4" s="1"/>
      <c r="D4" s="20" t="s">
        <v>149</v>
      </c>
      <c r="E4" s="2" t="s">
        <v>150</v>
      </c>
      <c r="F4" s="308"/>
      <c r="G4" s="257" t="s">
        <v>347</v>
      </c>
      <c r="H4" s="310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8" ht="15">
      <c r="A5" s="18"/>
      <c r="B5" s="23" t="s">
        <v>1</v>
      </c>
      <c r="C5" s="10"/>
      <c r="D5" s="29">
        <f>SUM(D6,D8,D9)</f>
        <v>25234988</v>
      </c>
      <c r="E5" s="29">
        <f>SUM(E6,E8,E9)</f>
        <v>29354802</v>
      </c>
      <c r="F5" s="29">
        <f>SUM(F6,F8,F9)</f>
        <v>25920199.250000007</v>
      </c>
      <c r="G5" s="29">
        <f>SUM(G6,G8,G9)</f>
        <v>1265585.04</v>
      </c>
      <c r="H5" s="315">
        <f>ROUND(F5/E5*100,1)</f>
        <v>88.3</v>
      </c>
      <c r="I5" s="326"/>
      <c r="J5" s="326"/>
      <c r="K5" s="326"/>
      <c r="L5" s="326"/>
      <c r="M5" s="326"/>
      <c r="N5" s="326"/>
      <c r="O5" s="326"/>
      <c r="P5" s="326"/>
      <c r="Q5" s="326"/>
      <c r="R5" s="326"/>
    </row>
    <row r="6" spans="1:18" ht="15">
      <c r="A6" s="18"/>
      <c r="B6" s="22" t="s">
        <v>2</v>
      </c>
      <c r="C6" s="11" t="s">
        <v>3</v>
      </c>
      <c r="D6" s="30">
        <f>SUMIF($C15:$C301,$C6,D15:D301)</f>
        <v>23246485</v>
      </c>
      <c r="E6" s="30">
        <f>SUMIF($C15:$C322,$C6,E15:E322)</f>
        <v>27311837</v>
      </c>
      <c r="F6" s="30">
        <f>SUMIF($C15:$C322,$C6,F15:F322)</f>
        <v>23936594.360000007</v>
      </c>
      <c r="G6" s="30">
        <f>SUMIF($C15:$C322,$C6,G15:G322)</f>
        <v>1233225.57</v>
      </c>
      <c r="H6" s="316">
        <f>ROUND(F6/E6*100,1)</f>
        <v>87.6</v>
      </c>
      <c r="I6" s="326"/>
      <c r="J6" s="326"/>
      <c r="K6" s="326"/>
      <c r="L6" s="326"/>
      <c r="M6" s="326"/>
      <c r="N6" s="326"/>
      <c r="O6" s="326"/>
      <c r="P6" s="326"/>
      <c r="Q6" s="326"/>
      <c r="R6" s="326"/>
    </row>
    <row r="7" spans="1:18" ht="15">
      <c r="A7" s="18"/>
      <c r="B7" s="24" t="s">
        <v>4</v>
      </c>
      <c r="C7" s="12" t="s">
        <v>3</v>
      </c>
      <c r="D7" s="31">
        <f>SUM(D34,D41,D76,D78,D80,D82,D85,D125,D152,D153,D157,D164,D219,D224,D232,D236,D238,D246,D247,D255,D262,D266)</f>
        <v>13005239</v>
      </c>
      <c r="E7" s="31">
        <f>SUM(E34,E41,E76,E78,E80,E82,E85,E125,E152,E153,E157,E164,E219,E224,E232,E236,E238,E246,E247,E255,E262,E266,E268,E269,E270,E271,E274,E279,E289)</f>
        <v>14168964</v>
      </c>
      <c r="F7" s="31">
        <f>SUM(F34,F41,F76,F78,F80,F82,F85,F125,F152,F153,F157,F164,F219,F224,F232,F236,F238,F246,F247,F255,F262,F266,F268,F269,F270,F271,F274,F279,F289)</f>
        <v>11857032.01</v>
      </c>
      <c r="G7" s="31">
        <f>SUM(G34,G41,G76,G78,G80,G82,G85,G125,G152,G153,G157,G164,G219,G224,G232,G236,G238,G246,G247,G255,G262,G266,G268,G269,G270,G279)</f>
        <v>48062.59</v>
      </c>
      <c r="H7" s="317">
        <f>ROUND(F7/E7*100,1)</f>
        <v>83.7</v>
      </c>
      <c r="I7" s="326"/>
      <c r="J7" s="326"/>
      <c r="K7" s="326"/>
      <c r="L7" s="326"/>
      <c r="M7" s="326"/>
      <c r="N7" s="326"/>
      <c r="O7" s="326"/>
      <c r="P7" s="326"/>
      <c r="Q7" s="326"/>
      <c r="R7" s="326"/>
    </row>
    <row r="8" spans="1:18" ht="15">
      <c r="A8" s="18"/>
      <c r="B8" s="25" t="s">
        <v>5</v>
      </c>
      <c r="C8" s="13" t="s">
        <v>6</v>
      </c>
      <c r="D8" s="30">
        <f>SUMIF($C15:$C318,$C8,D15:D318)</f>
        <v>1028053</v>
      </c>
      <c r="E8" s="30">
        <f>SUMIF($C15:$C322,$C8,E15:E322)</f>
        <v>1372515</v>
      </c>
      <c r="F8" s="30">
        <f>SUMIF($C15:$C322,$C8,F15:F322)</f>
        <v>1344502.01</v>
      </c>
      <c r="G8" s="30">
        <f>SUMIF($C15:$C322,$C8,G15:G322)</f>
        <v>20372</v>
      </c>
      <c r="H8" s="316">
        <f>ROUND(F8/E8*100,1)</f>
        <v>98</v>
      </c>
      <c r="I8" s="326"/>
      <c r="J8" s="326"/>
      <c r="K8" s="326"/>
      <c r="L8" s="326"/>
      <c r="M8" s="326"/>
      <c r="N8" s="326"/>
      <c r="O8" s="326"/>
      <c r="P8" s="326"/>
      <c r="Q8" s="326"/>
      <c r="R8" s="326"/>
    </row>
    <row r="9" spans="1:18" ht="15">
      <c r="A9" s="18"/>
      <c r="B9" s="25" t="s">
        <v>7</v>
      </c>
      <c r="C9" s="13" t="s">
        <v>8</v>
      </c>
      <c r="D9" s="30">
        <f>SUMIF($C15:$C285,$C9,D15:D285)</f>
        <v>960450</v>
      </c>
      <c r="E9" s="30">
        <f>SUMIF($C15:$C322,$C9,E15:E322)</f>
        <v>670450</v>
      </c>
      <c r="F9" s="30">
        <f>SUMIF($C15:$C322,$C9,F15:F322)</f>
        <v>639102.8800000001</v>
      </c>
      <c r="G9" s="30">
        <f>SUMIF($C15:$C322,$C9,G15:G322)</f>
        <v>11987.47</v>
      </c>
      <c r="H9" s="316">
        <f>ROUND(F9/E9*100,1)</f>
        <v>95.3</v>
      </c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ht="15">
      <c r="A10" s="18"/>
      <c r="B10" s="26"/>
      <c r="C10" s="15"/>
      <c r="D10" s="15"/>
      <c r="E10" s="14"/>
      <c r="F10" s="6"/>
      <c r="G10" s="6"/>
      <c r="H10" s="6"/>
      <c r="I10" s="326"/>
      <c r="J10" s="326"/>
      <c r="K10" s="326"/>
      <c r="L10" s="326"/>
      <c r="M10" s="326"/>
      <c r="N10" s="326"/>
      <c r="O10" s="326"/>
      <c r="P10" s="326"/>
      <c r="Q10" s="326"/>
      <c r="R10" s="326"/>
    </row>
    <row r="11" spans="1:18" ht="15">
      <c r="A11" s="18"/>
      <c r="B11" s="311" t="s">
        <v>9</v>
      </c>
      <c r="C11" s="311"/>
      <c r="D11" s="311"/>
      <c r="E11" s="311"/>
      <c r="F11" s="311"/>
      <c r="G11" s="3"/>
      <c r="H11" s="6"/>
      <c r="I11" s="326"/>
      <c r="J11" s="326"/>
      <c r="K11" s="326"/>
      <c r="L11" s="326"/>
      <c r="M11" s="326"/>
      <c r="N11" s="326"/>
      <c r="O11" s="326"/>
      <c r="P11" s="326"/>
      <c r="Q11" s="326"/>
      <c r="R11" s="326"/>
    </row>
    <row r="12" spans="1:18" ht="15">
      <c r="A12" s="18"/>
      <c r="B12" s="21"/>
      <c r="C12" s="16"/>
      <c r="D12" s="16"/>
      <c r="E12" s="3"/>
      <c r="F12" s="6"/>
      <c r="G12" s="6"/>
      <c r="H12" s="6"/>
      <c r="I12" s="326"/>
      <c r="J12" s="326"/>
      <c r="K12" s="327"/>
      <c r="L12" s="327"/>
      <c r="M12" s="327"/>
      <c r="N12" s="326"/>
      <c r="O12" s="326"/>
      <c r="P12" s="326"/>
      <c r="Q12" s="326"/>
      <c r="R12" s="326"/>
    </row>
    <row r="13" spans="1:18" ht="15" customHeight="1">
      <c r="A13" s="18"/>
      <c r="B13" s="312" t="s">
        <v>153</v>
      </c>
      <c r="C13" s="32"/>
      <c r="D13" s="314" t="s">
        <v>151</v>
      </c>
      <c r="E13" s="306"/>
      <c r="F13" s="307" t="s">
        <v>148</v>
      </c>
      <c r="G13" s="258"/>
      <c r="H13" s="312" t="s">
        <v>152</v>
      </c>
      <c r="I13" s="326"/>
      <c r="J13" s="326"/>
      <c r="K13" s="326"/>
      <c r="L13" s="326"/>
      <c r="M13" s="326"/>
      <c r="N13" s="326"/>
      <c r="O13" s="326"/>
      <c r="P13" s="326"/>
      <c r="Q13" s="326"/>
      <c r="R13" s="326"/>
    </row>
    <row r="14" spans="1:18" ht="15">
      <c r="A14" s="18"/>
      <c r="B14" s="313"/>
      <c r="C14" s="33"/>
      <c r="D14" s="20" t="s">
        <v>149</v>
      </c>
      <c r="E14" s="2" t="s">
        <v>150</v>
      </c>
      <c r="F14" s="308"/>
      <c r="G14" s="2" t="s">
        <v>348</v>
      </c>
      <c r="H14" s="313"/>
      <c r="I14" s="326"/>
      <c r="J14" s="327"/>
      <c r="K14" s="327"/>
      <c r="L14" s="327"/>
      <c r="M14" s="326"/>
      <c r="N14" s="326"/>
      <c r="O14" s="326"/>
      <c r="P14" s="326"/>
      <c r="Q14" s="326"/>
      <c r="R14" s="326"/>
    </row>
    <row r="15" spans="1:18" ht="15">
      <c r="A15" s="184"/>
      <c r="B15" s="185" t="s">
        <v>10</v>
      </c>
      <c r="C15" s="186"/>
      <c r="D15" s="187">
        <f>SUM(D16,D21,D25)</f>
        <v>1206450</v>
      </c>
      <c r="E15" s="187">
        <f>SUM(E16,E21,E25)</f>
        <v>873950</v>
      </c>
      <c r="F15" s="187">
        <f>SUM(F16,F21)</f>
        <v>827240.7500000001</v>
      </c>
      <c r="G15" s="187">
        <f>SUM(G16,G21,G25)</f>
        <v>15710.47</v>
      </c>
      <c r="H15" s="318">
        <f aca="true" t="shared" si="0" ref="H15:H53">ROUND(F15/E15*100,1)</f>
        <v>94.7</v>
      </c>
      <c r="I15" s="326"/>
      <c r="J15" s="327"/>
      <c r="K15" s="327"/>
      <c r="L15" s="327"/>
      <c r="M15" s="326"/>
      <c r="N15" s="328"/>
      <c r="O15" s="326"/>
      <c r="P15" s="326"/>
      <c r="Q15" s="326"/>
      <c r="R15" s="326"/>
    </row>
    <row r="16" spans="1:18" ht="15">
      <c r="A16" s="184"/>
      <c r="B16" s="185" t="s">
        <v>11</v>
      </c>
      <c r="C16" s="186"/>
      <c r="D16" s="188">
        <f>SUM(D17:D20)</f>
        <v>960450</v>
      </c>
      <c r="E16" s="188">
        <f>SUM(E17:E20)</f>
        <v>670450</v>
      </c>
      <c r="F16" s="188">
        <f>SUM(F17:F20)</f>
        <v>639102.8800000001</v>
      </c>
      <c r="G16" s="188">
        <f>SUM(G17:G20)</f>
        <v>11987.47</v>
      </c>
      <c r="H16" s="318">
        <f t="shared" si="0"/>
        <v>95.3</v>
      </c>
      <c r="I16" s="329"/>
      <c r="J16" s="326"/>
      <c r="K16" s="327"/>
      <c r="L16" s="327"/>
      <c r="M16" s="327"/>
      <c r="N16" s="326"/>
      <c r="O16" s="326"/>
      <c r="P16" s="326"/>
      <c r="Q16" s="326"/>
      <c r="R16" s="326"/>
    </row>
    <row r="17" spans="1:18" ht="15">
      <c r="A17" s="184" t="s">
        <v>12</v>
      </c>
      <c r="B17" s="189" t="s">
        <v>13</v>
      </c>
      <c r="C17" s="190" t="s">
        <v>8</v>
      </c>
      <c r="D17" s="191">
        <f>614+828400</f>
        <v>829014</v>
      </c>
      <c r="E17" s="191">
        <f>614+828400-290000</f>
        <v>539014</v>
      </c>
      <c r="F17" s="192">
        <v>507656.4</v>
      </c>
      <c r="G17" s="191">
        <v>1247.64</v>
      </c>
      <c r="H17" s="318">
        <f t="shared" si="0"/>
        <v>94.2</v>
      </c>
      <c r="I17" s="326"/>
      <c r="J17" s="327"/>
      <c r="K17" s="327"/>
      <c r="L17" s="327"/>
      <c r="M17" s="326"/>
      <c r="N17" s="326"/>
      <c r="O17" s="326"/>
      <c r="P17" s="326"/>
      <c r="Q17" s="326"/>
      <c r="R17" s="326"/>
    </row>
    <row r="18" spans="1:18" ht="30">
      <c r="A18" s="184" t="s">
        <v>14</v>
      </c>
      <c r="B18" s="189" t="s">
        <v>15</v>
      </c>
      <c r="C18" s="190" t="s">
        <v>8</v>
      </c>
      <c r="D18" s="191">
        <v>129853</v>
      </c>
      <c r="E18" s="191">
        <v>129853</v>
      </c>
      <c r="F18" s="191">
        <v>129853.42</v>
      </c>
      <c r="G18" s="191">
        <v>10684.33</v>
      </c>
      <c r="H18" s="318">
        <f t="shared" si="0"/>
        <v>100</v>
      </c>
      <c r="I18" s="327"/>
      <c r="J18" s="327"/>
      <c r="K18" s="327"/>
      <c r="L18" s="327"/>
      <c r="M18" s="327"/>
      <c r="N18" s="326"/>
      <c r="O18" s="326"/>
      <c r="P18" s="326"/>
      <c r="Q18" s="326"/>
      <c r="R18" s="326"/>
    </row>
    <row r="19" spans="1:18" ht="15">
      <c r="A19" s="184" t="s">
        <v>16</v>
      </c>
      <c r="B19" s="189" t="s">
        <v>17</v>
      </c>
      <c r="C19" s="190" t="s">
        <v>8</v>
      </c>
      <c r="D19" s="191">
        <v>697</v>
      </c>
      <c r="E19" s="191">
        <v>697</v>
      </c>
      <c r="F19" s="191">
        <v>708.26</v>
      </c>
      <c r="G19" s="191"/>
      <c r="H19" s="318">
        <f t="shared" si="0"/>
        <v>101.6</v>
      </c>
      <c r="I19" s="326"/>
      <c r="J19" s="326"/>
      <c r="K19" s="326"/>
      <c r="L19" s="326"/>
      <c r="M19" s="326"/>
      <c r="N19" s="326"/>
      <c r="O19" s="326"/>
      <c r="P19" s="326"/>
      <c r="Q19" s="326"/>
      <c r="R19" s="326"/>
    </row>
    <row r="20" spans="1:18" ht="15">
      <c r="A20" s="184" t="s">
        <v>14</v>
      </c>
      <c r="B20" s="189" t="s">
        <v>18</v>
      </c>
      <c r="C20" s="190" t="s">
        <v>8</v>
      </c>
      <c r="D20" s="191">
        <v>886</v>
      </c>
      <c r="E20" s="191">
        <v>886</v>
      </c>
      <c r="F20" s="191">
        <v>884.8</v>
      </c>
      <c r="G20" s="191">
        <v>55.5</v>
      </c>
      <c r="H20" s="318">
        <f t="shared" si="0"/>
        <v>99.9</v>
      </c>
      <c r="I20" s="326"/>
      <c r="J20" s="326"/>
      <c r="K20" s="327"/>
      <c r="L20" s="327"/>
      <c r="M20" s="327"/>
      <c r="N20" s="326"/>
      <c r="O20" s="326"/>
      <c r="P20" s="326"/>
      <c r="Q20" s="326"/>
      <c r="R20" s="326"/>
    </row>
    <row r="21" spans="1:18" ht="15">
      <c r="A21" s="184"/>
      <c r="B21" s="189" t="s">
        <v>19</v>
      </c>
      <c r="C21" s="193"/>
      <c r="D21" s="188">
        <f>SUM(D22:D24)</f>
        <v>106000</v>
      </c>
      <c r="E21" s="188">
        <f>SUM(E22:E24)</f>
        <v>203500</v>
      </c>
      <c r="F21" s="188">
        <f>SUM(F22:F24)</f>
        <v>188137.87</v>
      </c>
      <c r="G21" s="188">
        <f>SUM(G22:G24)</f>
        <v>3723</v>
      </c>
      <c r="H21" s="318">
        <f t="shared" si="0"/>
        <v>92.5</v>
      </c>
      <c r="I21" s="326"/>
      <c r="J21" s="326"/>
      <c r="K21" s="326"/>
      <c r="L21" s="326"/>
      <c r="M21" s="326"/>
      <c r="N21" s="326"/>
      <c r="O21" s="326"/>
      <c r="P21" s="326"/>
      <c r="Q21" s="326"/>
      <c r="R21" s="326"/>
    </row>
    <row r="22" spans="1:18" ht="15">
      <c r="A22" s="184" t="s">
        <v>20</v>
      </c>
      <c r="B22" s="189" t="s">
        <v>21</v>
      </c>
      <c r="C22" s="190" t="s">
        <v>3</v>
      </c>
      <c r="D22" s="191">
        <v>90000</v>
      </c>
      <c r="E22" s="191">
        <f>90000+28500</f>
        <v>118500</v>
      </c>
      <c r="F22" s="191">
        <v>117483.77</v>
      </c>
      <c r="G22" s="191"/>
      <c r="H22" s="318">
        <f t="shared" si="0"/>
        <v>99.1</v>
      </c>
      <c r="I22" s="326"/>
      <c r="J22" s="327"/>
      <c r="K22" s="327"/>
      <c r="L22" s="327"/>
      <c r="M22" s="327"/>
      <c r="N22" s="326"/>
      <c r="O22" s="326"/>
      <c r="P22" s="326"/>
      <c r="Q22" s="326"/>
      <c r="R22" s="326"/>
    </row>
    <row r="23" spans="1:18" ht="15">
      <c r="A23" s="184" t="s">
        <v>20</v>
      </c>
      <c r="B23" s="189" t="s">
        <v>240</v>
      </c>
      <c r="C23" s="190" t="s">
        <v>3</v>
      </c>
      <c r="D23" s="191"/>
      <c r="E23" s="191">
        <v>14000</v>
      </c>
      <c r="F23" s="191"/>
      <c r="G23" s="191"/>
      <c r="H23" s="318">
        <f t="shared" si="0"/>
        <v>0</v>
      </c>
      <c r="I23" s="326"/>
      <c r="J23" s="326"/>
      <c r="K23" s="326"/>
      <c r="L23" s="326"/>
      <c r="M23" s="326"/>
      <c r="N23" s="326"/>
      <c r="O23" s="326"/>
      <c r="P23" s="326"/>
      <c r="Q23" s="326"/>
      <c r="R23" s="326"/>
    </row>
    <row r="24" spans="1:18" ht="15">
      <c r="A24" s="184" t="s">
        <v>22</v>
      </c>
      <c r="B24" s="189" t="s">
        <v>23</v>
      </c>
      <c r="C24" s="190" t="s">
        <v>3</v>
      </c>
      <c r="D24" s="191">
        <v>16000</v>
      </c>
      <c r="E24" s="191">
        <f>16000+55000</f>
        <v>71000</v>
      </c>
      <c r="F24" s="191">
        <v>70654.1</v>
      </c>
      <c r="G24" s="191">
        <v>3723</v>
      </c>
      <c r="H24" s="318">
        <f t="shared" si="0"/>
        <v>99.5</v>
      </c>
      <c r="I24" s="326"/>
      <c r="J24" s="326"/>
      <c r="K24" s="326"/>
      <c r="L24" s="326"/>
      <c r="M24" s="326"/>
      <c r="N24" s="326"/>
      <c r="O24" s="326"/>
      <c r="P24" s="326"/>
      <c r="Q24" s="326"/>
      <c r="R24" s="326"/>
    </row>
    <row r="25" spans="1:18" ht="15">
      <c r="A25" s="184"/>
      <c r="B25" s="189" t="s">
        <v>24</v>
      </c>
      <c r="C25" s="190"/>
      <c r="D25" s="188">
        <f>SUM(D26)</f>
        <v>140000</v>
      </c>
      <c r="E25" s="188">
        <f>SUM(E26)</f>
        <v>0</v>
      </c>
      <c r="F25" s="188">
        <f>SUM(F26)</f>
        <v>0</v>
      </c>
      <c r="G25" s="188"/>
      <c r="H25" s="318"/>
      <c r="I25" s="326"/>
      <c r="J25" s="326"/>
      <c r="K25" s="330"/>
      <c r="L25" s="326"/>
      <c r="M25" s="326"/>
      <c r="N25" s="326"/>
      <c r="O25" s="326"/>
      <c r="P25" s="326"/>
      <c r="Q25" s="326"/>
      <c r="R25" s="326"/>
    </row>
    <row r="26" spans="1:18" ht="17.25" customHeight="1">
      <c r="A26" s="184" t="s">
        <v>12</v>
      </c>
      <c r="B26" s="189" t="s">
        <v>241</v>
      </c>
      <c r="C26" s="190" t="s">
        <v>3</v>
      </c>
      <c r="D26" s="191">
        <v>140000</v>
      </c>
      <c r="E26" s="191">
        <f>140000-140000</f>
        <v>0</v>
      </c>
      <c r="F26" s="191">
        <v>0</v>
      </c>
      <c r="G26" s="191"/>
      <c r="H26" s="318"/>
      <c r="I26" s="326"/>
      <c r="J26" s="326"/>
      <c r="K26" s="326"/>
      <c r="L26" s="326"/>
      <c r="M26" s="326"/>
      <c r="N26" s="326"/>
      <c r="O26" s="326"/>
      <c r="P26" s="326"/>
      <c r="Q26" s="326"/>
      <c r="R26" s="326"/>
    </row>
    <row r="27" spans="1:18" ht="17.25" customHeight="1">
      <c r="A27" s="184"/>
      <c r="B27" s="185" t="s">
        <v>242</v>
      </c>
      <c r="C27" s="190"/>
      <c r="D27" s="191"/>
      <c r="E27" s="187">
        <f>SUM(E28)</f>
        <v>5500</v>
      </c>
      <c r="F27" s="191">
        <f>SUM(F28)</f>
        <v>5500</v>
      </c>
      <c r="G27" s="191"/>
      <c r="H27" s="318">
        <f t="shared" si="0"/>
        <v>100</v>
      </c>
      <c r="I27" s="326"/>
      <c r="J27" s="326"/>
      <c r="K27" s="326"/>
      <c r="L27" s="326"/>
      <c r="M27" s="326"/>
      <c r="N27" s="326"/>
      <c r="O27" s="326"/>
      <c r="P27" s="326"/>
      <c r="Q27" s="326"/>
      <c r="R27" s="326"/>
    </row>
    <row r="28" spans="1:18" ht="17.25" customHeight="1">
      <c r="A28" s="184"/>
      <c r="B28" s="194" t="s">
        <v>243</v>
      </c>
      <c r="C28" s="190"/>
      <c r="D28" s="191"/>
      <c r="E28" s="191">
        <f>SUM(E29)</f>
        <v>5500</v>
      </c>
      <c r="F28" s="191">
        <f>SUM(F29)</f>
        <v>5500</v>
      </c>
      <c r="G28" s="191"/>
      <c r="H28" s="318">
        <f t="shared" si="0"/>
        <v>100</v>
      </c>
      <c r="I28" s="326"/>
      <c r="J28" s="326"/>
      <c r="K28" s="326"/>
      <c r="L28" s="326"/>
      <c r="M28" s="326"/>
      <c r="N28" s="326"/>
      <c r="O28" s="326"/>
      <c r="P28" s="326"/>
      <c r="Q28" s="326"/>
      <c r="R28" s="326"/>
    </row>
    <row r="29" spans="1:18" ht="17.25" customHeight="1">
      <c r="A29" s="184" t="s">
        <v>12</v>
      </c>
      <c r="B29" s="189" t="s">
        <v>244</v>
      </c>
      <c r="C29" s="190" t="s">
        <v>6</v>
      </c>
      <c r="D29" s="191"/>
      <c r="E29" s="191">
        <v>5500</v>
      </c>
      <c r="F29" s="191">
        <v>5500</v>
      </c>
      <c r="G29" s="191"/>
      <c r="H29" s="318">
        <f t="shared" si="0"/>
        <v>100</v>
      </c>
      <c r="I29" s="326"/>
      <c r="J29" s="326"/>
      <c r="K29" s="326"/>
      <c r="L29" s="326"/>
      <c r="M29" s="326"/>
      <c r="N29" s="326"/>
      <c r="O29" s="326"/>
      <c r="P29" s="326"/>
      <c r="Q29" s="326"/>
      <c r="R29" s="326"/>
    </row>
    <row r="30" spans="1:18" ht="15">
      <c r="A30" s="184"/>
      <c r="B30" s="195" t="s">
        <v>25</v>
      </c>
      <c r="C30" s="196"/>
      <c r="D30" s="187">
        <f>SUM(D31,D122,D126,D132)</f>
        <v>10946722</v>
      </c>
      <c r="E30" s="187">
        <f>SUM(E31,E122,E126,E132,E129)</f>
        <v>12520806</v>
      </c>
      <c r="F30" s="187">
        <f>SUM(F31,F122,F126,F132,F129)</f>
        <v>10141990.500000002</v>
      </c>
      <c r="G30" s="187">
        <f>SUM(G31,G122,G126,G132,G129)</f>
        <v>380863.79</v>
      </c>
      <c r="H30" s="319">
        <f t="shared" si="0"/>
        <v>81</v>
      </c>
      <c r="I30" s="326"/>
      <c r="J30" s="327"/>
      <c r="K30" s="327"/>
      <c r="L30" s="327"/>
      <c r="M30" s="327"/>
      <c r="N30" s="326"/>
      <c r="O30" s="326"/>
      <c r="P30" s="326"/>
      <c r="Q30" s="326"/>
      <c r="R30" s="326"/>
    </row>
    <row r="31" spans="1:18" ht="15">
      <c r="A31" s="184" t="s">
        <v>26</v>
      </c>
      <c r="B31" s="197" t="s">
        <v>27</v>
      </c>
      <c r="C31" s="196"/>
      <c r="D31" s="198">
        <f>SUM(D32,D56:D73,D102,D108,D110,)</f>
        <v>10107148</v>
      </c>
      <c r="E31" s="198">
        <f>SUM(E32,E56,E62,E73,E102,E108,E110,E101,E120)</f>
        <v>11593909</v>
      </c>
      <c r="F31" s="198">
        <f>SUM(F32,F56,F62,F102,F108,F110,F101,F73,F120)</f>
        <v>9424744.09</v>
      </c>
      <c r="G31" s="198">
        <f>SUM(G32,G56,G62,G102,G108,G110,G101,G73,G120)</f>
        <v>340764.14</v>
      </c>
      <c r="H31" s="318">
        <f t="shared" si="0"/>
        <v>81.3</v>
      </c>
      <c r="I31" s="326"/>
      <c r="J31" s="327"/>
      <c r="K31" s="327"/>
      <c r="L31" s="327"/>
      <c r="M31" s="326"/>
      <c r="N31" s="326"/>
      <c r="O31" s="326"/>
      <c r="P31" s="326"/>
      <c r="Q31" s="326"/>
      <c r="R31" s="326"/>
    </row>
    <row r="32" spans="1:18" ht="15">
      <c r="A32" s="184" t="s">
        <v>26</v>
      </c>
      <c r="B32" s="195" t="s">
        <v>28</v>
      </c>
      <c r="C32" s="196"/>
      <c r="D32" s="187">
        <f>SUM(D33:D55)</f>
        <v>8306270</v>
      </c>
      <c r="E32" s="187">
        <f>SUM(E33:E49,E50)</f>
        <v>9022497</v>
      </c>
      <c r="F32" s="187">
        <f>SUM(F33:F49,F50)</f>
        <v>7079366.5600000005</v>
      </c>
      <c r="G32" s="187">
        <f>SUM(G33:G50)</f>
        <v>218909.04</v>
      </c>
      <c r="H32" s="318">
        <f t="shared" si="0"/>
        <v>78.5</v>
      </c>
      <c r="I32" s="326"/>
      <c r="J32" s="327"/>
      <c r="K32" s="327"/>
      <c r="L32" s="327"/>
      <c r="M32" s="326"/>
      <c r="N32" s="326"/>
      <c r="O32" s="326"/>
      <c r="P32" s="326"/>
      <c r="Q32" s="326"/>
      <c r="R32" s="326"/>
    </row>
    <row r="33" spans="1:18" ht="30">
      <c r="A33" s="184"/>
      <c r="B33" s="199" t="s">
        <v>29</v>
      </c>
      <c r="C33" s="200" t="s">
        <v>3</v>
      </c>
      <c r="D33" s="191">
        <v>990000</v>
      </c>
      <c r="E33" s="191">
        <f>990000-189100</f>
        <v>800900</v>
      </c>
      <c r="F33" s="191">
        <f>579808.88+19000</f>
        <v>598808.88</v>
      </c>
      <c r="G33" s="191">
        <f>13282.2+19000</f>
        <v>32282.2</v>
      </c>
      <c r="H33" s="318">
        <f t="shared" si="0"/>
        <v>74.8</v>
      </c>
      <c r="I33" s="326"/>
      <c r="J33" s="327"/>
      <c r="K33" s="326"/>
      <c r="L33" s="326"/>
      <c r="M33" s="326"/>
      <c r="N33" s="326"/>
      <c r="O33" s="326"/>
      <c r="P33" s="326"/>
      <c r="Q33" s="326"/>
      <c r="R33" s="326"/>
    </row>
    <row r="34" spans="1:18" ht="30">
      <c r="A34" s="184"/>
      <c r="B34" s="201" t="s">
        <v>29</v>
      </c>
      <c r="C34" s="202" t="s">
        <v>3</v>
      </c>
      <c r="D34" s="203">
        <v>5596670</v>
      </c>
      <c r="E34" s="203">
        <v>5596670</v>
      </c>
      <c r="F34" s="203">
        <v>3934341.33</v>
      </c>
      <c r="G34" s="203"/>
      <c r="H34" s="320">
        <f t="shared" si="0"/>
        <v>70.3</v>
      </c>
      <c r="I34" s="326"/>
      <c r="J34" s="327"/>
      <c r="K34" s="327"/>
      <c r="L34" s="327"/>
      <c r="M34" s="326"/>
      <c r="N34" s="326"/>
      <c r="O34" s="326"/>
      <c r="P34" s="326"/>
      <c r="Q34" s="326"/>
      <c r="R34" s="326"/>
    </row>
    <row r="35" spans="1:18" ht="15">
      <c r="A35" s="184"/>
      <c r="B35" s="199" t="s">
        <v>30</v>
      </c>
      <c r="C35" s="200" t="s">
        <v>3</v>
      </c>
      <c r="D35" s="191">
        <v>226600</v>
      </c>
      <c r="E35" s="191">
        <v>226600</v>
      </c>
      <c r="F35" s="191">
        <v>226599.56</v>
      </c>
      <c r="G35" s="191"/>
      <c r="H35" s="318">
        <f t="shared" si="0"/>
        <v>100</v>
      </c>
      <c r="I35" s="326"/>
      <c r="J35" s="326"/>
      <c r="K35" s="326"/>
      <c r="L35" s="326"/>
      <c r="M35" s="326"/>
      <c r="N35" s="326"/>
      <c r="O35" s="326"/>
      <c r="P35" s="326"/>
      <c r="Q35" s="326"/>
      <c r="R35" s="326"/>
    </row>
    <row r="36" spans="1:18" ht="15">
      <c r="A36" s="184"/>
      <c r="B36" s="199" t="s">
        <v>349</v>
      </c>
      <c r="C36" s="200" t="s">
        <v>3</v>
      </c>
      <c r="D36" s="200"/>
      <c r="E36" s="191">
        <v>300000</v>
      </c>
      <c r="F36" s="191">
        <f>293709.66</f>
        <v>293709.66</v>
      </c>
      <c r="G36" s="191">
        <v>542.82</v>
      </c>
      <c r="H36" s="318">
        <f t="shared" si="0"/>
        <v>97.9</v>
      </c>
      <c r="I36" s="326"/>
      <c r="J36" s="327"/>
      <c r="K36" s="327"/>
      <c r="L36" s="327"/>
      <c r="M36" s="327"/>
      <c r="N36" s="326"/>
      <c r="O36" s="326"/>
      <c r="P36" s="326"/>
      <c r="Q36" s="326"/>
      <c r="R36" s="326"/>
    </row>
    <row r="37" spans="1:18" ht="15">
      <c r="A37" s="184"/>
      <c r="B37" s="199" t="s">
        <v>245</v>
      </c>
      <c r="C37" s="200" t="s">
        <v>3</v>
      </c>
      <c r="D37" s="191">
        <v>410000</v>
      </c>
      <c r="E37" s="191">
        <f>300000+7600</f>
        <v>307600</v>
      </c>
      <c r="F37" s="191">
        <v>304779.62</v>
      </c>
      <c r="G37" s="191">
        <v>624</v>
      </c>
      <c r="H37" s="318">
        <f t="shared" si="0"/>
        <v>99.1</v>
      </c>
      <c r="I37" s="326"/>
      <c r="J37" s="279"/>
      <c r="K37" s="326"/>
      <c r="L37" s="326"/>
      <c r="M37" s="326"/>
      <c r="N37" s="326"/>
      <c r="O37" s="326"/>
      <c r="P37" s="326"/>
      <c r="Q37" s="326"/>
      <c r="R37" s="326"/>
    </row>
    <row r="38" spans="1:18" ht="30">
      <c r="A38" s="184"/>
      <c r="B38" s="199" t="s">
        <v>31</v>
      </c>
      <c r="C38" s="200" t="s">
        <v>3</v>
      </c>
      <c r="D38" s="191">
        <v>500000</v>
      </c>
      <c r="E38" s="191">
        <v>500000</v>
      </c>
      <c r="F38" s="191">
        <v>477648.87</v>
      </c>
      <c r="G38" s="191">
        <v>131826.82</v>
      </c>
      <c r="H38" s="318">
        <f t="shared" si="0"/>
        <v>95.5</v>
      </c>
      <c r="I38" s="326"/>
      <c r="J38" s="326"/>
      <c r="K38" s="326"/>
      <c r="L38" s="326"/>
      <c r="M38" s="326"/>
      <c r="N38" s="326"/>
      <c r="O38" s="326"/>
      <c r="P38" s="326"/>
      <c r="Q38" s="326"/>
      <c r="R38" s="326"/>
    </row>
    <row r="39" spans="1:18" ht="30">
      <c r="A39" s="184"/>
      <c r="B39" s="199" t="s">
        <v>321</v>
      </c>
      <c r="C39" s="200" t="s">
        <v>3</v>
      </c>
      <c r="D39" s="191"/>
      <c r="E39" s="191">
        <v>112000</v>
      </c>
      <c r="F39" s="191">
        <v>95686.49</v>
      </c>
      <c r="G39" s="191"/>
      <c r="H39" s="318">
        <f t="shared" si="0"/>
        <v>85.4</v>
      </c>
      <c r="I39" s="326"/>
      <c r="J39" s="326"/>
      <c r="K39" s="326"/>
      <c r="L39" s="326"/>
      <c r="M39" s="326"/>
      <c r="N39" s="326"/>
      <c r="O39" s="326"/>
      <c r="P39" s="326"/>
      <c r="Q39" s="326"/>
      <c r="R39" s="326"/>
    </row>
    <row r="40" spans="1:18" ht="15">
      <c r="A40" s="184"/>
      <c r="B40" s="199" t="s">
        <v>246</v>
      </c>
      <c r="C40" s="200" t="s">
        <v>3</v>
      </c>
      <c r="D40" s="191"/>
      <c r="E40" s="191">
        <v>88235</v>
      </c>
      <c r="F40" s="191">
        <v>88235</v>
      </c>
      <c r="G40" s="191"/>
      <c r="H40" s="318">
        <f t="shared" si="0"/>
        <v>100</v>
      </c>
      <c r="I40" s="326"/>
      <c r="J40" s="326"/>
      <c r="K40" s="326"/>
      <c r="L40" s="326"/>
      <c r="M40" s="326"/>
      <c r="N40" s="326"/>
      <c r="O40" s="326"/>
      <c r="P40" s="326"/>
      <c r="Q40" s="326"/>
      <c r="R40" s="326"/>
    </row>
    <row r="41" spans="1:18" ht="15">
      <c r="A41" s="184"/>
      <c r="B41" s="201" t="s">
        <v>246</v>
      </c>
      <c r="C41" s="202" t="s">
        <v>3</v>
      </c>
      <c r="D41" s="203"/>
      <c r="E41" s="203">
        <f>500000-222481</f>
        <v>277519</v>
      </c>
      <c r="F41" s="203">
        <v>277518.92</v>
      </c>
      <c r="G41" s="203"/>
      <c r="H41" s="320">
        <f t="shared" si="0"/>
        <v>100</v>
      </c>
      <c r="I41" s="326"/>
      <c r="J41" s="326"/>
      <c r="K41" s="326"/>
      <c r="L41" s="326"/>
      <c r="M41" s="326"/>
      <c r="N41" s="326"/>
      <c r="O41" s="326"/>
      <c r="P41" s="326"/>
      <c r="Q41" s="326"/>
      <c r="R41" s="326"/>
    </row>
    <row r="42" spans="1:18" ht="15">
      <c r="A42" s="184"/>
      <c r="B42" s="259" t="s">
        <v>256</v>
      </c>
      <c r="C42" s="200" t="s">
        <v>3</v>
      </c>
      <c r="D42" s="208"/>
      <c r="E42" s="208">
        <v>28167</v>
      </c>
      <c r="F42" s="208">
        <v>28422</v>
      </c>
      <c r="G42" s="208"/>
      <c r="H42" s="321">
        <f t="shared" si="0"/>
        <v>100.9</v>
      </c>
      <c r="I42" s="326"/>
      <c r="J42" s="326"/>
      <c r="K42" s="326"/>
      <c r="L42" s="326"/>
      <c r="M42" s="326"/>
      <c r="N42" s="326"/>
      <c r="O42" s="326"/>
      <c r="P42" s="326"/>
      <c r="Q42" s="326"/>
      <c r="R42" s="326"/>
    </row>
    <row r="43" spans="1:18" ht="30">
      <c r="A43" s="184"/>
      <c r="B43" s="199" t="s">
        <v>32</v>
      </c>
      <c r="C43" s="200" t="s">
        <v>3</v>
      </c>
      <c r="D43" s="191">
        <v>400000</v>
      </c>
      <c r="E43" s="191">
        <v>400000</v>
      </c>
      <c r="F43" s="191">
        <v>399259.19</v>
      </c>
      <c r="G43" s="191"/>
      <c r="H43" s="318">
        <f t="shared" si="0"/>
        <v>99.8</v>
      </c>
      <c r="I43" s="326"/>
      <c r="J43" s="326"/>
      <c r="K43" s="326"/>
      <c r="L43" s="326"/>
      <c r="M43" s="326"/>
      <c r="N43" s="326"/>
      <c r="O43" s="326"/>
      <c r="P43" s="326"/>
      <c r="Q43" s="326"/>
      <c r="R43" s="326"/>
    </row>
    <row r="44" spans="1:18" ht="15">
      <c r="A44" s="184"/>
      <c r="B44" s="199" t="s">
        <v>247</v>
      </c>
      <c r="C44" s="200" t="s">
        <v>3</v>
      </c>
      <c r="D44" s="191">
        <v>25000</v>
      </c>
      <c r="E44" s="191">
        <v>25000</v>
      </c>
      <c r="F44" s="191">
        <v>25000</v>
      </c>
      <c r="G44" s="191"/>
      <c r="H44" s="318">
        <f t="shared" si="0"/>
        <v>100</v>
      </c>
      <c r="I44" s="326"/>
      <c r="J44" s="326"/>
      <c r="K44" s="326"/>
      <c r="L44" s="326"/>
      <c r="M44" s="326"/>
      <c r="N44" s="326"/>
      <c r="O44" s="326"/>
      <c r="P44" s="326"/>
      <c r="Q44" s="326"/>
      <c r="R44" s="326"/>
    </row>
    <row r="45" spans="1:18" ht="30">
      <c r="A45" s="184"/>
      <c r="B45" s="199" t="s">
        <v>248</v>
      </c>
      <c r="C45" s="200" t="s">
        <v>3</v>
      </c>
      <c r="D45" s="191"/>
      <c r="E45" s="191">
        <f>15000-8700</f>
        <v>6300</v>
      </c>
      <c r="F45" s="191">
        <v>6300</v>
      </c>
      <c r="G45" s="191"/>
      <c r="H45" s="318">
        <f t="shared" si="0"/>
        <v>100</v>
      </c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18" ht="15">
      <c r="A46" s="184"/>
      <c r="B46" s="199" t="s">
        <v>33</v>
      </c>
      <c r="C46" s="200" t="s">
        <v>3</v>
      </c>
      <c r="D46" s="191"/>
      <c r="E46" s="191">
        <f>161506-2600</f>
        <v>158906</v>
      </c>
      <c r="F46" s="191">
        <v>160859.2</v>
      </c>
      <c r="G46" s="191"/>
      <c r="H46" s="318">
        <f t="shared" si="0"/>
        <v>101.2</v>
      </c>
      <c r="I46" s="326"/>
      <c r="J46" s="326"/>
      <c r="K46" s="326"/>
      <c r="L46" s="326"/>
      <c r="M46" s="326"/>
      <c r="N46" s="326"/>
      <c r="O46" s="326"/>
      <c r="P46" s="326"/>
      <c r="Q46" s="326"/>
      <c r="R46" s="326"/>
    </row>
    <row r="47" spans="1:18" ht="30">
      <c r="A47" s="184"/>
      <c r="B47" s="199" t="s">
        <v>34</v>
      </c>
      <c r="C47" s="200" t="s">
        <v>3</v>
      </c>
      <c r="D47" s="191">
        <v>40000</v>
      </c>
      <c r="E47" s="191">
        <v>40000</v>
      </c>
      <c r="F47" s="191">
        <v>23248.8</v>
      </c>
      <c r="G47" s="191">
        <v>23248.8</v>
      </c>
      <c r="H47" s="318">
        <f t="shared" si="0"/>
        <v>58.1</v>
      </c>
      <c r="I47" s="326"/>
      <c r="J47" s="326"/>
      <c r="K47" s="326"/>
      <c r="L47" s="326"/>
      <c r="M47" s="326"/>
      <c r="N47" s="326"/>
      <c r="O47" s="326"/>
      <c r="P47" s="326"/>
      <c r="Q47" s="326"/>
      <c r="R47" s="326"/>
    </row>
    <row r="48" spans="1:18" ht="30">
      <c r="A48" s="184"/>
      <c r="B48" s="199" t="s">
        <v>260</v>
      </c>
      <c r="C48" s="200" t="s">
        <v>3</v>
      </c>
      <c r="D48" s="187"/>
      <c r="E48" s="191">
        <v>53000</v>
      </c>
      <c r="F48" s="191">
        <v>49890.24</v>
      </c>
      <c r="G48" s="191"/>
      <c r="H48" s="318">
        <f t="shared" si="0"/>
        <v>94.1</v>
      </c>
      <c r="I48" s="326"/>
      <c r="J48" s="326"/>
      <c r="K48" s="326"/>
      <c r="L48" s="326"/>
      <c r="M48" s="326"/>
      <c r="N48" s="326"/>
      <c r="O48" s="326"/>
      <c r="P48" s="326"/>
      <c r="Q48" s="326"/>
      <c r="R48" s="326"/>
    </row>
    <row r="49" spans="1:18" ht="15">
      <c r="A49" s="184"/>
      <c r="B49" s="199" t="s">
        <v>35</v>
      </c>
      <c r="C49" s="200" t="s">
        <v>3</v>
      </c>
      <c r="D49" s="191">
        <v>60000</v>
      </c>
      <c r="E49" s="191">
        <f>60000-6400</f>
        <v>53600</v>
      </c>
      <c r="F49" s="191">
        <v>53598.8</v>
      </c>
      <c r="G49" s="191"/>
      <c r="H49" s="318">
        <f t="shared" si="0"/>
        <v>100</v>
      </c>
      <c r="I49" s="326"/>
      <c r="J49" s="326"/>
      <c r="K49" s="326"/>
      <c r="L49" s="326"/>
      <c r="M49" s="326"/>
      <c r="N49" s="326"/>
      <c r="O49" s="326"/>
      <c r="P49" s="326"/>
      <c r="Q49" s="326"/>
      <c r="R49" s="326"/>
    </row>
    <row r="50" spans="1:18" ht="15">
      <c r="A50" s="184"/>
      <c r="B50" s="199" t="s">
        <v>36</v>
      </c>
      <c r="C50" s="200" t="s">
        <v>3</v>
      </c>
      <c r="D50" s="191">
        <v>38000</v>
      </c>
      <c r="E50" s="191">
        <f>38000+20000-10000</f>
        <v>48000</v>
      </c>
      <c r="F50" s="191">
        <f>SUM(F51:F55)</f>
        <v>35460</v>
      </c>
      <c r="G50" s="191">
        <f>SUM(G51:G55)</f>
        <v>30384.4</v>
      </c>
      <c r="H50" s="318">
        <f t="shared" si="0"/>
        <v>73.9</v>
      </c>
      <c r="I50" s="326"/>
      <c r="J50" s="326"/>
      <c r="K50" s="326"/>
      <c r="L50" s="326"/>
      <c r="M50" s="326"/>
      <c r="N50" s="326"/>
      <c r="O50" s="326"/>
      <c r="P50" s="326"/>
      <c r="Q50" s="326"/>
      <c r="R50" s="326"/>
    </row>
    <row r="51" spans="1:18" ht="15">
      <c r="A51" s="184"/>
      <c r="B51" s="204" t="s">
        <v>37</v>
      </c>
      <c r="C51" s="200"/>
      <c r="D51" s="191"/>
      <c r="E51" s="191">
        <v>38000</v>
      </c>
      <c r="F51" s="191">
        <v>9794</v>
      </c>
      <c r="G51" s="191">
        <v>9794.4</v>
      </c>
      <c r="H51" s="318">
        <f t="shared" si="0"/>
        <v>25.8</v>
      </c>
      <c r="I51" s="326"/>
      <c r="J51" s="326"/>
      <c r="K51" s="326"/>
      <c r="L51" s="326"/>
      <c r="M51" s="326"/>
      <c r="N51" s="326"/>
      <c r="O51" s="326"/>
      <c r="P51" s="326"/>
      <c r="Q51" s="326"/>
      <c r="R51" s="326"/>
    </row>
    <row r="52" spans="1:18" ht="30">
      <c r="A52" s="184"/>
      <c r="B52" s="204" t="s">
        <v>38</v>
      </c>
      <c r="C52" s="200"/>
      <c r="D52" s="191"/>
      <c r="E52" s="191"/>
      <c r="F52" s="191"/>
      <c r="G52" s="191"/>
      <c r="H52" s="318"/>
      <c r="I52" s="326"/>
      <c r="J52" s="326"/>
      <c r="K52" s="326"/>
      <c r="L52" s="326"/>
      <c r="M52" s="326"/>
      <c r="N52" s="326"/>
      <c r="O52" s="326"/>
      <c r="P52" s="326"/>
      <c r="Q52" s="326"/>
      <c r="R52" s="326"/>
    </row>
    <row r="53" spans="1:18" ht="30">
      <c r="A53" s="184"/>
      <c r="B53" s="199" t="s">
        <v>249</v>
      </c>
      <c r="C53" s="200"/>
      <c r="D53" s="191">
        <v>20000</v>
      </c>
      <c r="E53" s="191">
        <f>20000-10000</f>
        <v>10000</v>
      </c>
      <c r="F53" s="191">
        <v>14130</v>
      </c>
      <c r="G53" s="191">
        <v>10590</v>
      </c>
      <c r="H53" s="318">
        <f t="shared" si="0"/>
        <v>141.3</v>
      </c>
      <c r="I53" s="326"/>
      <c r="J53" s="326"/>
      <c r="K53" s="326"/>
      <c r="L53" s="326"/>
      <c r="M53" s="326"/>
      <c r="N53" s="326"/>
      <c r="O53" s="326"/>
      <c r="P53" s="326"/>
      <c r="Q53" s="326"/>
      <c r="R53" s="326"/>
    </row>
    <row r="54" spans="1:18" ht="15">
      <c r="A54" s="184"/>
      <c r="B54" s="199" t="s">
        <v>350</v>
      </c>
      <c r="C54" s="200"/>
      <c r="D54" s="191"/>
      <c r="E54" s="191"/>
      <c r="F54" s="191">
        <v>10000</v>
      </c>
      <c r="G54" s="191">
        <v>10000</v>
      </c>
      <c r="H54" s="318"/>
      <c r="I54" s="326"/>
      <c r="J54" s="326"/>
      <c r="K54" s="326"/>
      <c r="L54" s="326"/>
      <c r="M54" s="326"/>
      <c r="N54" s="326"/>
      <c r="O54" s="326"/>
      <c r="P54" s="326"/>
      <c r="Q54" s="326"/>
      <c r="R54" s="326"/>
    </row>
    <row r="55" spans="1:18" ht="15">
      <c r="A55" s="184"/>
      <c r="B55" s="199" t="s">
        <v>250</v>
      </c>
      <c r="C55" s="200"/>
      <c r="D55" s="191"/>
      <c r="E55" s="191"/>
      <c r="F55" s="191">
        <v>1536</v>
      </c>
      <c r="G55" s="191"/>
      <c r="H55" s="318"/>
      <c r="I55" s="326"/>
      <c r="J55" s="326"/>
      <c r="K55" s="326"/>
      <c r="L55" s="326"/>
      <c r="M55" s="326"/>
      <c r="N55" s="326"/>
      <c r="O55" s="326"/>
      <c r="P55" s="326"/>
      <c r="Q55" s="326"/>
      <c r="R55" s="326"/>
    </row>
    <row r="56" spans="1:18" ht="15">
      <c r="A56" s="184" t="s">
        <v>26</v>
      </c>
      <c r="B56" s="195" t="s">
        <v>39</v>
      </c>
      <c r="C56" s="196" t="s">
        <v>3</v>
      </c>
      <c r="D56" s="187">
        <v>65000</v>
      </c>
      <c r="E56" s="187">
        <f>65000+6000</f>
        <v>71000</v>
      </c>
      <c r="F56" s="187">
        <f>SUM(F57:F61)</f>
        <v>68720.74</v>
      </c>
      <c r="G56" s="187">
        <f>SUM(G57:G61)</f>
        <v>0</v>
      </c>
      <c r="H56" s="318">
        <f>ROUND(F56/E56*100,1)</f>
        <v>96.8</v>
      </c>
      <c r="I56" s="326"/>
      <c r="J56" s="326"/>
      <c r="K56" s="326"/>
      <c r="L56" s="326"/>
      <c r="M56" s="326"/>
      <c r="N56" s="326"/>
      <c r="O56" s="326"/>
      <c r="P56" s="326"/>
      <c r="Q56" s="326"/>
      <c r="R56" s="326"/>
    </row>
    <row r="57" spans="1:18" ht="15">
      <c r="A57" s="184"/>
      <c r="B57" s="199" t="s">
        <v>294</v>
      </c>
      <c r="C57" s="200"/>
      <c r="D57" s="191"/>
      <c r="E57" s="191"/>
      <c r="F57" s="191">
        <v>35715.28</v>
      </c>
      <c r="G57" s="191"/>
      <c r="H57" s="318"/>
      <c r="I57" s="326"/>
      <c r="J57" s="326"/>
      <c r="K57" s="326"/>
      <c r="L57" s="326"/>
      <c r="M57" s="326"/>
      <c r="N57" s="326"/>
      <c r="O57" s="326"/>
      <c r="P57" s="326"/>
      <c r="Q57" s="326"/>
      <c r="R57" s="326"/>
    </row>
    <row r="58" spans="1:18" ht="15">
      <c r="A58" s="184"/>
      <c r="B58" s="199" t="s">
        <v>295</v>
      </c>
      <c r="C58" s="200"/>
      <c r="D58" s="191"/>
      <c r="E58" s="191"/>
      <c r="F58" s="191">
        <v>1200</v>
      </c>
      <c r="G58" s="191"/>
      <c r="H58" s="318"/>
      <c r="I58" s="326"/>
      <c r="J58" s="326"/>
      <c r="K58" s="326"/>
      <c r="L58" s="326"/>
      <c r="M58" s="326"/>
      <c r="N58" s="326"/>
      <c r="O58" s="326"/>
      <c r="P58" s="326"/>
      <c r="Q58" s="326"/>
      <c r="R58" s="326"/>
    </row>
    <row r="59" spans="1:18" ht="15">
      <c r="A59" s="184"/>
      <c r="B59" s="199" t="s">
        <v>296</v>
      </c>
      <c r="C59" s="200"/>
      <c r="D59" s="191"/>
      <c r="E59" s="191"/>
      <c r="F59" s="191">
        <v>21098.58</v>
      </c>
      <c r="G59" s="191"/>
      <c r="H59" s="318"/>
      <c r="I59" s="326"/>
      <c r="J59" s="326"/>
      <c r="K59" s="326"/>
      <c r="L59" s="326"/>
      <c r="M59" s="326"/>
      <c r="N59" s="326"/>
      <c r="O59" s="326"/>
      <c r="P59" s="326"/>
      <c r="Q59" s="326"/>
      <c r="R59" s="326"/>
    </row>
    <row r="60" spans="1:18" ht="15">
      <c r="A60" s="184"/>
      <c r="B60" s="199" t="s">
        <v>297</v>
      </c>
      <c r="C60" s="200"/>
      <c r="D60" s="191"/>
      <c r="E60" s="191"/>
      <c r="F60" s="191">
        <v>1200</v>
      </c>
      <c r="G60" s="191"/>
      <c r="H60" s="318"/>
      <c r="I60" s="326"/>
      <c r="J60" s="326"/>
      <c r="K60" s="326"/>
      <c r="L60" s="326"/>
      <c r="M60" s="326"/>
      <c r="N60" s="326"/>
      <c r="O60" s="326"/>
      <c r="P60" s="326"/>
      <c r="Q60" s="326"/>
      <c r="R60" s="326"/>
    </row>
    <row r="61" spans="1:18" ht="15">
      <c r="A61" s="184"/>
      <c r="B61" s="199" t="s">
        <v>306</v>
      </c>
      <c r="C61" s="200"/>
      <c r="D61" s="191"/>
      <c r="E61" s="191"/>
      <c r="F61" s="191">
        <v>9506.88</v>
      </c>
      <c r="G61" s="191"/>
      <c r="H61" s="318"/>
      <c r="I61" s="326"/>
      <c r="J61" s="326"/>
      <c r="K61" s="326"/>
      <c r="L61" s="326"/>
      <c r="M61" s="326"/>
      <c r="N61" s="326"/>
      <c r="O61" s="326"/>
      <c r="P61" s="326"/>
      <c r="Q61" s="326"/>
      <c r="R61" s="326"/>
    </row>
    <row r="62" spans="1:18" ht="15">
      <c r="A62" s="184" t="s">
        <v>26</v>
      </c>
      <c r="B62" s="195" t="s">
        <v>40</v>
      </c>
      <c r="C62" s="196" t="s">
        <v>3</v>
      </c>
      <c r="D62" s="187">
        <v>650000</v>
      </c>
      <c r="E62" s="187">
        <f>650000+90000-58300</f>
        <v>681700</v>
      </c>
      <c r="F62" s="187">
        <f>SUM(F63:F72)</f>
        <v>663287.61</v>
      </c>
      <c r="G62" s="187">
        <f>SUM(G63:G72)</f>
        <v>0</v>
      </c>
      <c r="H62" s="318">
        <f>ROUND(F62/E62*100,1)</f>
        <v>97.3</v>
      </c>
      <c r="I62" s="326"/>
      <c r="J62" s="326"/>
      <c r="K62" s="326"/>
      <c r="L62" s="326"/>
      <c r="M62" s="326"/>
      <c r="N62" s="326"/>
      <c r="O62" s="326"/>
      <c r="P62" s="326"/>
      <c r="Q62" s="326"/>
      <c r="R62" s="326"/>
    </row>
    <row r="63" spans="1:18" ht="15">
      <c r="A63" s="184"/>
      <c r="B63" s="199" t="s">
        <v>41</v>
      </c>
      <c r="C63" s="196"/>
      <c r="D63" s="187"/>
      <c r="E63" s="187"/>
      <c r="F63" s="191">
        <v>101747.52</v>
      </c>
      <c r="G63" s="191"/>
      <c r="H63" s="318"/>
      <c r="I63" s="326"/>
      <c r="J63" s="326"/>
      <c r="K63" s="326"/>
      <c r="L63" s="326"/>
      <c r="M63" s="326"/>
      <c r="N63" s="326"/>
      <c r="O63" s="326"/>
      <c r="P63" s="326"/>
      <c r="Q63" s="326"/>
      <c r="R63" s="326"/>
    </row>
    <row r="64" spans="1:18" ht="15">
      <c r="A64" s="184"/>
      <c r="B64" s="195" t="s">
        <v>42</v>
      </c>
      <c r="C64" s="196"/>
      <c r="D64" s="187"/>
      <c r="E64" s="187"/>
      <c r="F64" s="261">
        <v>79078.8</v>
      </c>
      <c r="G64" s="187"/>
      <c r="H64" s="318"/>
      <c r="I64" s="326"/>
      <c r="J64" s="326"/>
      <c r="K64" s="326"/>
      <c r="L64" s="326"/>
      <c r="M64" s="326"/>
      <c r="N64" s="326"/>
      <c r="O64" s="326"/>
      <c r="P64" s="326"/>
      <c r="Q64" s="326"/>
      <c r="R64" s="326"/>
    </row>
    <row r="65" spans="1:18" ht="15">
      <c r="A65" s="184"/>
      <c r="B65" s="199" t="s">
        <v>43</v>
      </c>
      <c r="C65" s="196"/>
      <c r="D65" s="187"/>
      <c r="E65" s="187"/>
      <c r="F65" s="191">
        <v>1200</v>
      </c>
      <c r="G65" s="187"/>
      <c r="H65" s="318"/>
      <c r="I65" s="326"/>
      <c r="J65" s="326"/>
      <c r="K65" s="326"/>
      <c r="L65" s="326"/>
      <c r="M65" s="326"/>
      <c r="N65" s="326"/>
      <c r="O65" s="326"/>
      <c r="P65" s="326"/>
      <c r="Q65" s="326"/>
      <c r="R65" s="326"/>
    </row>
    <row r="66" spans="1:18" ht="15">
      <c r="A66" s="184"/>
      <c r="B66" s="199" t="s">
        <v>44</v>
      </c>
      <c r="C66" s="196"/>
      <c r="D66" s="187"/>
      <c r="E66" s="187"/>
      <c r="F66" s="191">
        <v>43968.24</v>
      </c>
      <c r="G66" s="191"/>
      <c r="H66" s="318"/>
      <c r="I66" s="326"/>
      <c r="J66" s="326"/>
      <c r="K66" s="326"/>
      <c r="L66" s="326"/>
      <c r="M66" s="326"/>
      <c r="N66" s="326"/>
      <c r="O66" s="326"/>
      <c r="P66" s="326"/>
      <c r="Q66" s="326"/>
      <c r="R66" s="326"/>
    </row>
    <row r="67" spans="1:18" ht="15">
      <c r="A67" s="184"/>
      <c r="B67" s="199" t="s">
        <v>45</v>
      </c>
      <c r="C67" s="196"/>
      <c r="D67" s="187"/>
      <c r="E67" s="187"/>
      <c r="F67" s="191">
        <v>37357.2</v>
      </c>
      <c r="G67" s="191"/>
      <c r="H67" s="318"/>
      <c r="I67" s="326"/>
      <c r="J67" s="326"/>
      <c r="K67" s="326"/>
      <c r="L67" s="326"/>
      <c r="M67" s="326"/>
      <c r="N67" s="326"/>
      <c r="O67" s="326"/>
      <c r="P67" s="326"/>
      <c r="Q67" s="326"/>
      <c r="R67" s="326"/>
    </row>
    <row r="68" spans="1:18" ht="15">
      <c r="A68" s="184"/>
      <c r="B68" s="199" t="s">
        <v>307</v>
      </c>
      <c r="C68" s="196"/>
      <c r="D68" s="187"/>
      <c r="E68" s="187"/>
      <c r="F68" s="191">
        <v>19567.8</v>
      </c>
      <c r="G68" s="191"/>
      <c r="H68" s="318"/>
      <c r="I68" s="326"/>
      <c r="J68" s="326"/>
      <c r="K68" s="326"/>
      <c r="L68" s="326"/>
      <c r="M68" s="326"/>
      <c r="N68" s="326"/>
      <c r="O68" s="326"/>
      <c r="P68" s="326"/>
      <c r="Q68" s="326"/>
      <c r="R68" s="326"/>
    </row>
    <row r="69" spans="1:18" ht="30">
      <c r="A69" s="184"/>
      <c r="B69" s="199" t="s">
        <v>251</v>
      </c>
      <c r="C69" s="196"/>
      <c r="D69" s="187"/>
      <c r="E69" s="187"/>
      <c r="F69" s="191">
        <v>47943</v>
      </c>
      <c r="G69" s="191"/>
      <c r="H69" s="318"/>
      <c r="I69" s="326"/>
      <c r="J69" s="326"/>
      <c r="K69" s="326"/>
      <c r="L69" s="326"/>
      <c r="M69" s="326"/>
      <c r="N69" s="326"/>
      <c r="O69" s="326"/>
      <c r="P69" s="326"/>
      <c r="Q69" s="326"/>
      <c r="R69" s="326"/>
    </row>
    <row r="70" spans="1:18" ht="15">
      <c r="A70" s="184"/>
      <c r="B70" s="199" t="s">
        <v>252</v>
      </c>
      <c r="C70" s="196"/>
      <c r="D70" s="187"/>
      <c r="E70" s="187"/>
      <c r="F70" s="191">
        <v>198529.83</v>
      </c>
      <c r="G70" s="191"/>
      <c r="H70" s="318"/>
      <c r="I70" s="326"/>
      <c r="J70" s="326"/>
      <c r="K70" s="326"/>
      <c r="L70" s="326"/>
      <c r="M70" s="326"/>
      <c r="N70" s="326"/>
      <c r="O70" s="326"/>
      <c r="P70" s="326"/>
      <c r="Q70" s="326"/>
      <c r="R70" s="326"/>
    </row>
    <row r="71" spans="1:18" ht="15">
      <c r="A71" s="184"/>
      <c r="B71" s="199" t="s">
        <v>308</v>
      </c>
      <c r="C71" s="196"/>
      <c r="D71" s="187"/>
      <c r="E71" s="187"/>
      <c r="F71" s="191">
        <v>80673.84</v>
      </c>
      <c r="G71" s="191"/>
      <c r="H71" s="318"/>
      <c r="I71" s="326"/>
      <c r="J71" s="326"/>
      <c r="K71" s="326"/>
      <c r="L71" s="326"/>
      <c r="M71" s="326"/>
      <c r="N71" s="326"/>
      <c r="O71" s="326"/>
      <c r="P71" s="326"/>
      <c r="Q71" s="326"/>
      <c r="R71" s="326"/>
    </row>
    <row r="72" spans="1:18" ht="15">
      <c r="A72" s="184"/>
      <c r="B72" s="199" t="s">
        <v>322</v>
      </c>
      <c r="C72" s="196"/>
      <c r="D72" s="187"/>
      <c r="E72" s="187"/>
      <c r="F72" s="191">
        <v>53221.38</v>
      </c>
      <c r="G72" s="191"/>
      <c r="H72" s="318"/>
      <c r="I72" s="326"/>
      <c r="J72" s="326"/>
      <c r="K72" s="326"/>
      <c r="L72" s="326"/>
      <c r="M72" s="326"/>
      <c r="N72" s="326"/>
      <c r="O72" s="326"/>
      <c r="P72" s="326"/>
      <c r="Q72" s="326"/>
      <c r="R72" s="326"/>
    </row>
    <row r="73" spans="1:18" ht="15">
      <c r="A73" s="184" t="s">
        <v>26</v>
      </c>
      <c r="B73" s="195" t="s">
        <v>46</v>
      </c>
      <c r="C73" s="196"/>
      <c r="D73" s="187">
        <f>SUM(D74:D91)</f>
        <v>591971</v>
      </c>
      <c r="E73" s="187">
        <f>SUM(E74:E91)</f>
        <v>1296365</v>
      </c>
      <c r="F73" s="187">
        <f>SUM(F74:F91)</f>
        <v>1064895.95</v>
      </c>
      <c r="G73" s="187">
        <f>SUM(G74:G91)</f>
        <v>64404</v>
      </c>
      <c r="H73" s="318">
        <f aca="true" t="shared" si="1" ref="H73:H102">ROUND(F73/E73*100,1)</f>
        <v>82.1</v>
      </c>
      <c r="I73" s="326"/>
      <c r="J73" s="326"/>
      <c r="K73" s="326"/>
      <c r="L73" s="326"/>
      <c r="M73" s="326"/>
      <c r="N73" s="326"/>
      <c r="O73" s="326"/>
      <c r="P73" s="326"/>
      <c r="Q73" s="326"/>
      <c r="R73" s="326"/>
    </row>
    <row r="74" spans="1:18" ht="15">
      <c r="A74" s="184"/>
      <c r="B74" s="204" t="s">
        <v>351</v>
      </c>
      <c r="C74" s="200" t="s">
        <v>3</v>
      </c>
      <c r="D74" s="191">
        <v>40000</v>
      </c>
      <c r="E74" s="191">
        <f>40000+15000+38000-15000</f>
        <v>78000</v>
      </c>
      <c r="F74" s="191">
        <v>65285.76</v>
      </c>
      <c r="G74" s="191"/>
      <c r="H74" s="318">
        <f t="shared" si="1"/>
        <v>83.7</v>
      </c>
      <c r="I74" s="326"/>
      <c r="J74" s="326"/>
      <c r="K74" s="326"/>
      <c r="L74" s="326"/>
      <c r="M74" s="326"/>
      <c r="N74" s="326"/>
      <c r="O74" s="326"/>
      <c r="P74" s="326"/>
      <c r="Q74" s="326"/>
      <c r="R74" s="326"/>
    </row>
    <row r="75" spans="1:18" ht="15">
      <c r="A75" s="184"/>
      <c r="B75" s="204" t="s">
        <v>352</v>
      </c>
      <c r="C75" s="200" t="s">
        <v>3</v>
      </c>
      <c r="D75" s="191"/>
      <c r="E75" s="191"/>
      <c r="F75" s="191">
        <v>9580.8</v>
      </c>
      <c r="G75" s="191"/>
      <c r="H75" s="318"/>
      <c r="I75" s="326"/>
      <c r="J75" s="326"/>
      <c r="K75" s="326"/>
      <c r="L75" s="326"/>
      <c r="M75" s="326"/>
      <c r="N75" s="326"/>
      <c r="O75" s="326"/>
      <c r="P75" s="326"/>
      <c r="Q75" s="326"/>
      <c r="R75" s="326"/>
    </row>
    <row r="76" spans="1:18" ht="15">
      <c r="A76" s="184"/>
      <c r="B76" s="205" t="s">
        <v>351</v>
      </c>
      <c r="C76" s="202" t="s">
        <v>3</v>
      </c>
      <c r="D76" s="203"/>
      <c r="E76" s="203">
        <v>15000</v>
      </c>
      <c r="F76" s="203">
        <v>15000</v>
      </c>
      <c r="G76" s="203"/>
      <c r="H76" s="320">
        <f t="shared" si="1"/>
        <v>100</v>
      </c>
      <c r="I76" s="326"/>
      <c r="J76" s="326"/>
      <c r="K76" s="326"/>
      <c r="L76" s="326"/>
      <c r="M76" s="326"/>
      <c r="N76" s="326"/>
      <c r="O76" s="326"/>
      <c r="P76" s="326"/>
      <c r="Q76" s="326"/>
      <c r="R76" s="326"/>
    </row>
    <row r="77" spans="1:18" ht="15">
      <c r="A77" s="184"/>
      <c r="B77" s="204" t="s">
        <v>47</v>
      </c>
      <c r="C77" s="200" t="s">
        <v>3</v>
      </c>
      <c r="D77" s="191">
        <v>78000</v>
      </c>
      <c r="E77" s="191">
        <f>78000+81000</f>
        <v>159000</v>
      </c>
      <c r="F77" s="191">
        <v>161353.89</v>
      </c>
      <c r="G77" s="191"/>
      <c r="H77" s="318">
        <f t="shared" si="1"/>
        <v>101.5</v>
      </c>
      <c r="I77" s="326"/>
      <c r="J77" s="326"/>
      <c r="K77" s="326"/>
      <c r="L77" s="326"/>
      <c r="M77" s="326"/>
      <c r="N77" s="326"/>
      <c r="O77" s="326"/>
      <c r="P77" s="326"/>
      <c r="Q77" s="326"/>
      <c r="R77" s="326"/>
    </row>
    <row r="78" spans="1:18" ht="15">
      <c r="A78" s="184"/>
      <c r="B78" s="205" t="s">
        <v>47</v>
      </c>
      <c r="C78" s="202" t="s">
        <v>3</v>
      </c>
      <c r="D78" s="203">
        <v>202852</v>
      </c>
      <c r="E78" s="203">
        <v>202852</v>
      </c>
      <c r="F78" s="203">
        <v>202842.91</v>
      </c>
      <c r="G78" s="203"/>
      <c r="H78" s="320">
        <f t="shared" si="1"/>
        <v>100</v>
      </c>
      <c r="I78" s="326"/>
      <c r="J78" s="326"/>
      <c r="K78" s="326"/>
      <c r="L78" s="326"/>
      <c r="M78" s="326"/>
      <c r="N78" s="326"/>
      <c r="O78" s="326"/>
      <c r="P78" s="326"/>
      <c r="Q78" s="326"/>
      <c r="R78" s="326"/>
    </row>
    <row r="79" spans="1:18" ht="30">
      <c r="A79" s="184"/>
      <c r="B79" s="204" t="s">
        <v>48</v>
      </c>
      <c r="C79" s="200" t="s">
        <v>3</v>
      </c>
      <c r="D79" s="191">
        <v>10500</v>
      </c>
      <c r="E79" s="191">
        <v>10500</v>
      </c>
      <c r="F79" s="191">
        <v>9402.12</v>
      </c>
      <c r="G79" s="191"/>
      <c r="H79" s="318">
        <f t="shared" si="1"/>
        <v>89.5</v>
      </c>
      <c r="I79" s="326"/>
      <c r="J79" s="326"/>
      <c r="K79" s="326"/>
      <c r="L79" s="326"/>
      <c r="M79" s="326"/>
      <c r="N79" s="326"/>
      <c r="O79" s="326"/>
      <c r="P79" s="326"/>
      <c r="Q79" s="326"/>
      <c r="R79" s="326"/>
    </row>
    <row r="80" spans="1:18" ht="30">
      <c r="A80" s="184"/>
      <c r="B80" s="205" t="s">
        <v>48</v>
      </c>
      <c r="C80" s="202" t="s">
        <v>3</v>
      </c>
      <c r="D80" s="203">
        <v>58119</v>
      </c>
      <c r="E80" s="203">
        <v>58119</v>
      </c>
      <c r="F80" s="203">
        <v>53278.69</v>
      </c>
      <c r="G80" s="203"/>
      <c r="H80" s="320">
        <f t="shared" si="1"/>
        <v>91.7</v>
      </c>
      <c r="I80" s="326"/>
      <c r="J80" s="326"/>
      <c r="K80" s="326"/>
      <c r="L80" s="326"/>
      <c r="M80" s="326"/>
      <c r="N80" s="326"/>
      <c r="O80" s="326"/>
      <c r="P80" s="326"/>
      <c r="Q80" s="326"/>
      <c r="R80" s="326"/>
    </row>
    <row r="81" spans="1:18" ht="30">
      <c r="A81" s="184"/>
      <c r="B81" s="206" t="s">
        <v>253</v>
      </c>
      <c r="C81" s="207" t="s">
        <v>3</v>
      </c>
      <c r="D81" s="208"/>
      <c r="E81" s="208">
        <f>24750+23000</f>
        <v>47750</v>
      </c>
      <c r="F81" s="208">
        <v>50241.87</v>
      </c>
      <c r="G81" s="208"/>
      <c r="H81" s="321">
        <f t="shared" si="1"/>
        <v>105.2</v>
      </c>
      <c r="I81" s="326"/>
      <c r="J81" s="326"/>
      <c r="K81" s="326"/>
      <c r="L81" s="326"/>
      <c r="M81" s="326"/>
      <c r="N81" s="326"/>
      <c r="O81" s="326"/>
      <c r="P81" s="326"/>
      <c r="Q81" s="326"/>
      <c r="R81" s="326"/>
    </row>
    <row r="82" spans="1:18" ht="30">
      <c r="A82" s="184"/>
      <c r="B82" s="205" t="s">
        <v>253</v>
      </c>
      <c r="C82" s="202" t="s">
        <v>3</v>
      </c>
      <c r="D82" s="203"/>
      <c r="E82" s="203">
        <v>140250</v>
      </c>
      <c r="F82" s="203">
        <v>138960.77</v>
      </c>
      <c r="G82" s="203"/>
      <c r="H82" s="320">
        <f t="shared" si="1"/>
        <v>99.1</v>
      </c>
      <c r="I82" s="326"/>
      <c r="J82" s="326"/>
      <c r="K82" s="326"/>
      <c r="L82" s="326"/>
      <c r="M82" s="326"/>
      <c r="N82" s="326"/>
      <c r="O82" s="326"/>
      <c r="P82" s="326"/>
      <c r="Q82" s="326"/>
      <c r="R82" s="326"/>
    </row>
    <row r="83" spans="1:18" ht="15">
      <c r="A83" s="184"/>
      <c r="B83" s="204" t="s">
        <v>323</v>
      </c>
      <c r="C83" s="200" t="s">
        <v>3</v>
      </c>
      <c r="D83" s="191"/>
      <c r="E83" s="191">
        <v>12000</v>
      </c>
      <c r="F83" s="191"/>
      <c r="G83" s="191"/>
      <c r="H83" s="318"/>
      <c r="I83" s="326"/>
      <c r="J83" s="326"/>
      <c r="K83" s="326"/>
      <c r="L83" s="326"/>
      <c r="M83" s="326"/>
      <c r="N83" s="326"/>
      <c r="O83" s="326"/>
      <c r="P83" s="326"/>
      <c r="Q83" s="326"/>
      <c r="R83" s="326"/>
    </row>
    <row r="84" spans="1:18" ht="30">
      <c r="A84" s="184"/>
      <c r="B84" s="206" t="s">
        <v>254</v>
      </c>
      <c r="C84" s="207" t="s">
        <v>3</v>
      </c>
      <c r="D84" s="208"/>
      <c r="E84" s="208">
        <v>18225</v>
      </c>
      <c r="F84" s="208">
        <v>12871.85</v>
      </c>
      <c r="G84" s="208"/>
      <c r="H84" s="321">
        <f t="shared" si="1"/>
        <v>70.6</v>
      </c>
      <c r="I84" s="326"/>
      <c r="J84" s="326"/>
      <c r="K84" s="326"/>
      <c r="L84" s="326"/>
      <c r="M84" s="326"/>
      <c r="N84" s="326"/>
      <c r="O84" s="326"/>
      <c r="P84" s="326"/>
      <c r="Q84" s="326"/>
      <c r="R84" s="326"/>
    </row>
    <row r="85" spans="1:18" ht="30">
      <c r="A85" s="184"/>
      <c r="B85" s="205" t="s">
        <v>254</v>
      </c>
      <c r="C85" s="202" t="s">
        <v>3</v>
      </c>
      <c r="D85" s="203"/>
      <c r="E85" s="203">
        <v>103275</v>
      </c>
      <c r="F85" s="203">
        <v>72940.47</v>
      </c>
      <c r="G85" s="203"/>
      <c r="H85" s="320">
        <f t="shared" si="1"/>
        <v>70.6</v>
      </c>
      <c r="I85" s="326"/>
      <c r="J85" s="326"/>
      <c r="K85" s="326"/>
      <c r="L85" s="326"/>
      <c r="M85" s="326"/>
      <c r="N85" s="326"/>
      <c r="O85" s="326"/>
      <c r="P85" s="326"/>
      <c r="Q85" s="326"/>
      <c r="R85" s="326"/>
    </row>
    <row r="86" spans="1:18" ht="30">
      <c r="A86" s="184"/>
      <c r="B86" s="206" t="s">
        <v>255</v>
      </c>
      <c r="C86" s="207" t="s">
        <v>3</v>
      </c>
      <c r="D86" s="208"/>
      <c r="E86" s="208">
        <v>75000</v>
      </c>
      <c r="F86" s="208">
        <v>84516.21</v>
      </c>
      <c r="G86" s="208"/>
      <c r="H86" s="321">
        <f t="shared" si="1"/>
        <v>112.7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</row>
    <row r="87" spans="1:18" ht="15">
      <c r="A87" s="184"/>
      <c r="B87" s="206" t="s">
        <v>258</v>
      </c>
      <c r="C87" s="207" t="s">
        <v>3</v>
      </c>
      <c r="D87" s="208"/>
      <c r="E87" s="208">
        <v>7894</v>
      </c>
      <c r="F87" s="208">
        <v>7893.6</v>
      </c>
      <c r="G87" s="208"/>
      <c r="H87" s="321"/>
      <c r="I87" s="326"/>
      <c r="J87" s="326"/>
      <c r="K87" s="326"/>
      <c r="L87" s="326"/>
      <c r="M87" s="326"/>
      <c r="N87" s="326"/>
      <c r="O87" s="326"/>
      <c r="P87" s="326"/>
      <c r="Q87" s="326"/>
      <c r="R87" s="326"/>
    </row>
    <row r="88" spans="1:18" ht="15">
      <c r="A88" s="184"/>
      <c r="B88" s="206" t="s">
        <v>324</v>
      </c>
      <c r="C88" s="207" t="s">
        <v>3</v>
      </c>
      <c r="D88" s="208"/>
      <c r="E88" s="208"/>
      <c r="F88" s="208">
        <v>24750.41</v>
      </c>
      <c r="G88" s="208"/>
      <c r="H88" s="321"/>
      <c r="I88" s="326"/>
      <c r="J88" s="326"/>
      <c r="K88" s="326"/>
      <c r="L88" s="326"/>
      <c r="M88" s="326"/>
      <c r="N88" s="326"/>
      <c r="O88" s="326"/>
      <c r="P88" s="326"/>
      <c r="Q88" s="326"/>
      <c r="R88" s="326"/>
    </row>
    <row r="89" spans="1:18" ht="30">
      <c r="A89" s="184"/>
      <c r="B89" s="209" t="s">
        <v>49</v>
      </c>
      <c r="C89" s="210" t="s">
        <v>3</v>
      </c>
      <c r="D89" s="211"/>
      <c r="E89" s="211">
        <v>70000</v>
      </c>
      <c r="F89" s="191">
        <v>69564.6</v>
      </c>
      <c r="G89" s="191"/>
      <c r="H89" s="318">
        <f t="shared" si="1"/>
        <v>99.4</v>
      </c>
      <c r="I89" s="326"/>
      <c r="J89" s="326"/>
      <c r="K89" s="326"/>
      <c r="L89" s="326"/>
      <c r="M89" s="326"/>
      <c r="N89" s="326"/>
      <c r="O89" s="326"/>
      <c r="P89" s="326"/>
      <c r="Q89" s="326"/>
      <c r="R89" s="326"/>
    </row>
    <row r="90" spans="1:18" ht="15">
      <c r="A90" s="184"/>
      <c r="B90" s="206" t="s">
        <v>257</v>
      </c>
      <c r="C90" s="207" t="s">
        <v>6</v>
      </c>
      <c r="D90" s="208"/>
      <c r="E90" s="208">
        <v>20000</v>
      </c>
      <c r="F90" s="208"/>
      <c r="G90" s="208"/>
      <c r="H90" s="321"/>
      <c r="I90" s="326"/>
      <c r="J90" s="326"/>
      <c r="K90" s="326"/>
      <c r="L90" s="326"/>
      <c r="M90" s="326"/>
      <c r="N90" s="326"/>
      <c r="O90" s="326"/>
      <c r="P90" s="326"/>
      <c r="Q90" s="326"/>
      <c r="R90" s="326"/>
    </row>
    <row r="91" spans="1:18" ht="15">
      <c r="A91" s="184" t="s">
        <v>26</v>
      </c>
      <c r="B91" s="212" t="s">
        <v>50</v>
      </c>
      <c r="C91" s="196" t="s">
        <v>3</v>
      </c>
      <c r="D91" s="262">
        <f>-10500-78000+291000</f>
        <v>202500</v>
      </c>
      <c r="E91" s="187">
        <f>-10500-78000+291000+26000+45000+5000</f>
        <v>278500</v>
      </c>
      <c r="F91" s="187">
        <f>SUM(F92:F100)</f>
        <v>86412</v>
      </c>
      <c r="G91" s="187">
        <f>SUM(G92:G100)</f>
        <v>64404</v>
      </c>
      <c r="H91" s="318">
        <f t="shared" si="1"/>
        <v>31</v>
      </c>
      <c r="I91" s="326"/>
      <c r="J91" s="326"/>
      <c r="K91" s="326"/>
      <c r="L91" s="326"/>
      <c r="M91" s="326"/>
      <c r="N91" s="326"/>
      <c r="O91" s="326"/>
      <c r="P91" s="326"/>
      <c r="Q91" s="326"/>
      <c r="R91" s="326"/>
    </row>
    <row r="92" spans="1:18" ht="15">
      <c r="A92" s="184"/>
      <c r="B92" s="204" t="s">
        <v>353</v>
      </c>
      <c r="C92" s="196"/>
      <c r="D92" s="262"/>
      <c r="E92" s="187"/>
      <c r="F92" s="191">
        <v>18000</v>
      </c>
      <c r="G92" s="191">
        <v>18000</v>
      </c>
      <c r="H92" s="318"/>
      <c r="I92" s="326"/>
      <c r="J92" s="326"/>
      <c r="K92" s="326"/>
      <c r="L92" s="326"/>
      <c r="M92" s="326"/>
      <c r="N92" s="326"/>
      <c r="O92" s="326"/>
      <c r="P92" s="326"/>
      <c r="Q92" s="326"/>
      <c r="R92" s="326"/>
    </row>
    <row r="93" spans="1:18" ht="15">
      <c r="A93" s="184"/>
      <c r="B93" s="204" t="s">
        <v>354</v>
      </c>
      <c r="C93" s="196"/>
      <c r="D93" s="262"/>
      <c r="E93" s="187"/>
      <c r="F93" s="191">
        <v>18000</v>
      </c>
      <c r="G93" s="191">
        <v>18000</v>
      </c>
      <c r="H93" s="318"/>
      <c r="I93" s="326"/>
      <c r="J93" s="326"/>
      <c r="K93" s="326"/>
      <c r="L93" s="326"/>
      <c r="M93" s="326"/>
      <c r="N93" s="326"/>
      <c r="O93" s="326"/>
      <c r="P93" s="326"/>
      <c r="Q93" s="326"/>
      <c r="R93" s="326"/>
    </row>
    <row r="94" spans="1:18" ht="15">
      <c r="A94" s="184"/>
      <c r="B94" s="204" t="s">
        <v>355</v>
      </c>
      <c r="C94" s="196"/>
      <c r="D94" s="262"/>
      <c r="E94" s="187"/>
      <c r="F94" s="191">
        <v>21888</v>
      </c>
      <c r="G94" s="191">
        <v>21888</v>
      </c>
      <c r="H94" s="318"/>
      <c r="I94" s="326"/>
      <c r="J94" s="326"/>
      <c r="K94" s="326"/>
      <c r="L94" s="326"/>
      <c r="M94" s="326"/>
      <c r="N94" s="326"/>
      <c r="O94" s="326"/>
      <c r="P94" s="326"/>
      <c r="Q94" s="326"/>
      <c r="R94" s="326"/>
    </row>
    <row r="95" spans="1:18" ht="30">
      <c r="A95" s="184"/>
      <c r="B95" s="204" t="s">
        <v>51</v>
      </c>
      <c r="C95" s="196"/>
      <c r="D95" s="187"/>
      <c r="E95" s="187"/>
      <c r="F95" s="191">
        <v>936</v>
      </c>
      <c r="G95" s="191"/>
      <c r="H95" s="318"/>
      <c r="I95" s="326"/>
      <c r="J95" s="326"/>
      <c r="K95" s="326"/>
      <c r="L95" s="326"/>
      <c r="M95" s="326"/>
      <c r="N95" s="326"/>
      <c r="O95" s="326"/>
      <c r="P95" s="326"/>
      <c r="Q95" s="326"/>
      <c r="R95" s="326"/>
    </row>
    <row r="96" spans="1:18" ht="30">
      <c r="A96" s="184"/>
      <c r="B96" s="204" t="s">
        <v>309</v>
      </c>
      <c r="C96" s="196"/>
      <c r="D96" s="187"/>
      <c r="E96" s="187"/>
      <c r="F96" s="191">
        <v>14316</v>
      </c>
      <c r="G96" s="191"/>
      <c r="H96" s="318"/>
      <c r="I96" s="326"/>
      <c r="J96" s="326"/>
      <c r="K96" s="326"/>
      <c r="L96" s="326"/>
      <c r="M96" s="326"/>
      <c r="N96" s="326"/>
      <c r="O96" s="326"/>
      <c r="P96" s="326"/>
      <c r="Q96" s="326"/>
      <c r="R96" s="326"/>
    </row>
    <row r="97" spans="1:18" ht="15">
      <c r="A97" s="184"/>
      <c r="B97" s="204" t="s">
        <v>52</v>
      </c>
      <c r="C97" s="196"/>
      <c r="D97" s="187"/>
      <c r="E97" s="187"/>
      <c r="F97" s="191">
        <v>4440</v>
      </c>
      <c r="G97" s="191"/>
      <c r="H97" s="318"/>
      <c r="I97" s="326"/>
      <c r="J97" s="326"/>
      <c r="K97" s="326"/>
      <c r="L97" s="326"/>
      <c r="M97" s="326"/>
      <c r="N97" s="326"/>
      <c r="O97" s="326"/>
      <c r="P97" s="326"/>
      <c r="Q97" s="326"/>
      <c r="R97" s="326"/>
    </row>
    <row r="98" spans="1:18" ht="15">
      <c r="A98" s="184"/>
      <c r="B98" s="204" t="s">
        <v>356</v>
      </c>
      <c r="C98" s="196"/>
      <c r="D98" s="187"/>
      <c r="E98" s="187"/>
      <c r="F98" s="191">
        <v>3540</v>
      </c>
      <c r="G98" s="191">
        <v>3540</v>
      </c>
      <c r="H98" s="318"/>
      <c r="I98" s="326"/>
      <c r="J98" s="326"/>
      <c r="K98" s="326"/>
      <c r="L98" s="326"/>
      <c r="M98" s="326"/>
      <c r="N98" s="326"/>
      <c r="O98" s="326"/>
      <c r="P98" s="326"/>
      <c r="Q98" s="326"/>
      <c r="R98" s="326"/>
    </row>
    <row r="99" spans="1:18" ht="30">
      <c r="A99" s="184"/>
      <c r="B99" s="204" t="s">
        <v>357</v>
      </c>
      <c r="C99" s="196"/>
      <c r="D99" s="187"/>
      <c r="E99" s="187"/>
      <c r="F99" s="191">
        <v>2976</v>
      </c>
      <c r="G99" s="191">
        <v>2976</v>
      </c>
      <c r="H99" s="318"/>
      <c r="I99" s="326"/>
      <c r="J99" s="326"/>
      <c r="K99" s="326"/>
      <c r="L99" s="326"/>
      <c r="M99" s="326"/>
      <c r="N99" s="326"/>
      <c r="O99" s="326"/>
      <c r="P99" s="326"/>
      <c r="Q99" s="326"/>
      <c r="R99" s="326"/>
    </row>
    <row r="100" spans="1:18" ht="15">
      <c r="A100" s="184"/>
      <c r="B100" s="204" t="s">
        <v>53</v>
      </c>
      <c r="C100" s="196"/>
      <c r="D100" s="187"/>
      <c r="E100" s="187"/>
      <c r="F100" s="191">
        <v>2316</v>
      </c>
      <c r="G100" s="191"/>
      <c r="H100" s="318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</row>
    <row r="101" spans="1:18" ht="15">
      <c r="A101" s="184"/>
      <c r="B101" s="27" t="s">
        <v>259</v>
      </c>
      <c r="C101" s="196" t="s">
        <v>3</v>
      </c>
      <c r="D101" s="187"/>
      <c r="E101" s="187">
        <f>60000-60000</f>
        <v>0</v>
      </c>
      <c r="F101" s="187"/>
      <c r="G101" s="187"/>
      <c r="H101" s="318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</row>
    <row r="102" spans="1:18" ht="15">
      <c r="A102" s="184" t="s">
        <v>26</v>
      </c>
      <c r="B102" s="195" t="s">
        <v>54</v>
      </c>
      <c r="C102" s="196" t="s">
        <v>3</v>
      </c>
      <c r="D102" s="187">
        <v>200000</v>
      </c>
      <c r="E102" s="187">
        <f>200000+20940</f>
        <v>220940</v>
      </c>
      <c r="F102" s="187">
        <f>SUM(F103:F107)</f>
        <v>220984</v>
      </c>
      <c r="G102" s="187">
        <f>SUM(G103:G107)</f>
        <v>12640</v>
      </c>
      <c r="H102" s="318">
        <f t="shared" si="1"/>
        <v>100</v>
      </c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</row>
    <row r="103" spans="1:18" ht="15">
      <c r="A103" s="184"/>
      <c r="B103" s="199" t="s">
        <v>298</v>
      </c>
      <c r="C103" s="200"/>
      <c r="D103" s="191"/>
      <c r="E103" s="191"/>
      <c r="F103" s="191">
        <v>41400</v>
      </c>
      <c r="G103" s="191"/>
      <c r="H103" s="318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</row>
    <row r="104" spans="1:18" ht="30">
      <c r="A104" s="184"/>
      <c r="B104" s="199" t="s">
        <v>310</v>
      </c>
      <c r="C104" s="200"/>
      <c r="D104" s="191"/>
      <c r="E104" s="191"/>
      <c r="F104" s="191">
        <v>60600</v>
      </c>
      <c r="G104" s="191"/>
      <c r="H104" s="318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</row>
    <row r="105" spans="1:18" ht="30">
      <c r="A105" s="184"/>
      <c r="B105" s="199" t="s">
        <v>311</v>
      </c>
      <c r="C105" s="200"/>
      <c r="D105" s="191"/>
      <c r="E105" s="191"/>
      <c r="F105" s="191">
        <v>20640</v>
      </c>
      <c r="G105" s="191"/>
      <c r="H105" s="318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</row>
    <row r="106" spans="1:18" ht="15">
      <c r="A106" s="184"/>
      <c r="B106" s="199" t="s">
        <v>313</v>
      </c>
      <c r="C106" s="200"/>
      <c r="D106" s="191"/>
      <c r="E106" s="191"/>
      <c r="F106" s="191">
        <v>12640</v>
      </c>
      <c r="G106" s="191">
        <v>12640</v>
      </c>
      <c r="H106" s="318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</row>
    <row r="107" spans="1:18" ht="15">
      <c r="A107" s="184"/>
      <c r="B107" s="199" t="s">
        <v>299</v>
      </c>
      <c r="C107" s="200"/>
      <c r="D107" s="191"/>
      <c r="E107" s="191"/>
      <c r="F107" s="191">
        <v>85704</v>
      </c>
      <c r="G107" s="191"/>
      <c r="H107" s="318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</row>
    <row r="108" spans="1:18" ht="15">
      <c r="A108" s="184" t="s">
        <v>26</v>
      </c>
      <c r="B108" s="195" t="s">
        <v>55</v>
      </c>
      <c r="C108" s="196"/>
      <c r="D108" s="187">
        <f>SUM(D109:D109)</f>
        <v>93907</v>
      </c>
      <c r="E108" s="187">
        <f>SUM(E109:E109)</f>
        <v>93907</v>
      </c>
      <c r="F108" s="187">
        <f>SUM(F109:F109)</f>
        <v>93907.01</v>
      </c>
      <c r="G108" s="187"/>
      <c r="H108" s="318">
        <f aca="true" t="shared" si="2" ref="H108:H173">ROUND(F108/E108*100,1)</f>
        <v>100</v>
      </c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</row>
    <row r="109" spans="1:18" ht="15">
      <c r="A109" s="184"/>
      <c r="B109" s="213" t="s">
        <v>56</v>
      </c>
      <c r="C109" s="200" t="s">
        <v>6</v>
      </c>
      <c r="D109" s="191">
        <v>93907</v>
      </c>
      <c r="E109" s="191">
        <v>93907</v>
      </c>
      <c r="F109" s="191">
        <v>93907.01</v>
      </c>
      <c r="G109" s="191"/>
      <c r="H109" s="318">
        <f t="shared" si="2"/>
        <v>100</v>
      </c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</row>
    <row r="110" spans="1:18" ht="15">
      <c r="A110" s="184" t="s">
        <v>26</v>
      </c>
      <c r="B110" s="195" t="s">
        <v>57</v>
      </c>
      <c r="C110" s="196" t="s">
        <v>3</v>
      </c>
      <c r="D110" s="187">
        <v>200000</v>
      </c>
      <c r="E110" s="187">
        <f>200000</f>
        <v>200000</v>
      </c>
      <c r="F110" s="187">
        <f>SUM(F111:F119)</f>
        <v>226024.62</v>
      </c>
      <c r="G110" s="187">
        <f>SUM(G111:G119)</f>
        <v>44811.1</v>
      </c>
      <c r="H110" s="318">
        <f t="shared" si="2"/>
        <v>113</v>
      </c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</row>
    <row r="111" spans="1:18" ht="15">
      <c r="A111" s="184"/>
      <c r="B111" s="199" t="s">
        <v>300</v>
      </c>
      <c r="C111" s="196"/>
      <c r="D111" s="187"/>
      <c r="E111" s="191"/>
      <c r="F111" s="191">
        <f>25715.14+16425.3</f>
        <v>42140.44</v>
      </c>
      <c r="G111" s="191">
        <v>16425.3</v>
      </c>
      <c r="H111" s="318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</row>
    <row r="112" spans="1:18" ht="15">
      <c r="A112" s="184"/>
      <c r="B112" s="199" t="s">
        <v>301</v>
      </c>
      <c r="C112" s="196"/>
      <c r="D112" s="187"/>
      <c r="E112" s="191"/>
      <c r="F112" s="191">
        <v>18172.52</v>
      </c>
      <c r="G112" s="191"/>
      <c r="H112" s="318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</row>
    <row r="113" spans="1:18" ht="15">
      <c r="A113" s="184"/>
      <c r="B113" s="199" t="s">
        <v>325</v>
      </c>
      <c r="C113" s="196"/>
      <c r="D113" s="187"/>
      <c r="E113" s="191"/>
      <c r="F113" s="191">
        <v>17102.06</v>
      </c>
      <c r="G113" s="191"/>
      <c r="H113" s="318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</row>
    <row r="114" spans="1:18" ht="15">
      <c r="A114" s="184"/>
      <c r="B114" s="199" t="s">
        <v>312</v>
      </c>
      <c r="C114" s="196"/>
      <c r="D114" s="187"/>
      <c r="E114" s="191"/>
      <c r="F114" s="191">
        <v>43647.6</v>
      </c>
      <c r="G114" s="191"/>
      <c r="H114" s="318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</row>
    <row r="115" spans="1:18" ht="15">
      <c r="A115" s="184"/>
      <c r="B115" s="199" t="s">
        <v>326</v>
      </c>
      <c r="C115" s="196"/>
      <c r="D115" s="187"/>
      <c r="E115" s="191"/>
      <c r="F115" s="191">
        <v>24554.16</v>
      </c>
      <c r="G115" s="191"/>
      <c r="H115" s="318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</row>
    <row r="116" spans="1:18" ht="15">
      <c r="A116" s="184"/>
      <c r="B116" s="199" t="s">
        <v>327</v>
      </c>
      <c r="C116" s="196"/>
      <c r="D116" s="187"/>
      <c r="E116" s="191"/>
      <c r="F116" s="191">
        <f>7376.15+14525.8</f>
        <v>21901.949999999997</v>
      </c>
      <c r="G116" s="191">
        <v>14525.8</v>
      </c>
      <c r="H116" s="318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</row>
    <row r="117" spans="1:18" ht="30">
      <c r="A117" s="184"/>
      <c r="B117" s="199" t="s">
        <v>328</v>
      </c>
      <c r="C117" s="196"/>
      <c r="D117" s="187"/>
      <c r="E117" s="191"/>
      <c r="F117" s="191">
        <v>27146.29</v>
      </c>
      <c r="G117" s="191">
        <v>8160</v>
      </c>
      <c r="H117" s="318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</row>
    <row r="118" spans="1:18" ht="15">
      <c r="A118" s="184"/>
      <c r="B118" s="199" t="s">
        <v>313</v>
      </c>
      <c r="C118" s="196"/>
      <c r="D118" s="187"/>
      <c r="E118" s="191"/>
      <c r="F118" s="191">
        <v>25659.6</v>
      </c>
      <c r="G118" s="191"/>
      <c r="H118" s="318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</row>
    <row r="119" spans="1:18" ht="15">
      <c r="A119" s="184"/>
      <c r="B119" s="199" t="s">
        <v>358</v>
      </c>
      <c r="C119" s="196"/>
      <c r="D119" s="187"/>
      <c r="E119" s="191"/>
      <c r="F119" s="191">
        <v>5700</v>
      </c>
      <c r="G119" s="191">
        <v>5700</v>
      </c>
      <c r="H119" s="318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</row>
    <row r="120" spans="1:18" ht="15">
      <c r="A120" s="184"/>
      <c r="B120" s="197" t="s">
        <v>329</v>
      </c>
      <c r="C120" s="196"/>
      <c r="D120" s="187"/>
      <c r="E120" s="187">
        <f>SUM(E121)</f>
        <v>7500</v>
      </c>
      <c r="F120" s="187">
        <f>SUM(F121)</f>
        <v>7557.6</v>
      </c>
      <c r="G120" s="187">
        <f>SUM(G121)</f>
        <v>0</v>
      </c>
      <c r="H120" s="318">
        <f t="shared" si="2"/>
        <v>100.8</v>
      </c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</row>
    <row r="121" spans="1:18" ht="15">
      <c r="A121" s="184"/>
      <c r="B121" s="199" t="s">
        <v>330</v>
      </c>
      <c r="C121" s="196" t="s">
        <v>3</v>
      </c>
      <c r="D121" s="187"/>
      <c r="E121" s="191">
        <v>7500</v>
      </c>
      <c r="F121" s="191">
        <v>7557.6</v>
      </c>
      <c r="G121" s="191"/>
      <c r="H121" s="318">
        <f t="shared" si="2"/>
        <v>100.8</v>
      </c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</row>
    <row r="122" spans="1:18" ht="15">
      <c r="A122" s="184" t="s">
        <v>26</v>
      </c>
      <c r="B122" s="199" t="s">
        <v>58</v>
      </c>
      <c r="C122" s="200"/>
      <c r="D122" s="188">
        <f>SUM(D123:D125)</f>
        <v>576574</v>
      </c>
      <c r="E122" s="188">
        <f>SUM(E123:E125)</f>
        <v>628659</v>
      </c>
      <c r="F122" s="188">
        <f>SUM(F123:F125)</f>
        <v>424762.38</v>
      </c>
      <c r="G122" s="188">
        <f>SUM(G123:G125)</f>
        <v>7878.67</v>
      </c>
      <c r="H122" s="318">
        <f t="shared" si="2"/>
        <v>67.6</v>
      </c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</row>
    <row r="123" spans="1:18" ht="30">
      <c r="A123" s="184"/>
      <c r="B123" s="199" t="s">
        <v>59</v>
      </c>
      <c r="C123" s="200" t="s">
        <v>3</v>
      </c>
      <c r="D123" s="191">
        <v>86486</v>
      </c>
      <c r="E123" s="191">
        <f>86486+38800</f>
        <v>125286</v>
      </c>
      <c r="F123" s="191">
        <v>109349.31</v>
      </c>
      <c r="G123" s="191"/>
      <c r="H123" s="318">
        <f t="shared" si="2"/>
        <v>87.3</v>
      </c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</row>
    <row r="124" spans="1:18" ht="15">
      <c r="A124" s="184"/>
      <c r="B124" s="199" t="s">
        <v>359</v>
      </c>
      <c r="C124" s="200" t="s">
        <v>3</v>
      </c>
      <c r="D124" s="191"/>
      <c r="E124" s="191">
        <v>7879</v>
      </c>
      <c r="F124" s="191">
        <v>7878.67</v>
      </c>
      <c r="G124" s="191">
        <v>7878.67</v>
      </c>
      <c r="H124" s="318">
        <f t="shared" si="2"/>
        <v>100</v>
      </c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</row>
    <row r="125" spans="1:18" ht="30">
      <c r="A125" s="184"/>
      <c r="B125" s="201" t="s">
        <v>59</v>
      </c>
      <c r="C125" s="202" t="s">
        <v>3</v>
      </c>
      <c r="D125" s="203">
        <v>490088</v>
      </c>
      <c r="E125" s="203">
        <f>490088+5406</f>
        <v>495494</v>
      </c>
      <c r="F125" s="203">
        <v>307534.4</v>
      </c>
      <c r="G125" s="203"/>
      <c r="H125" s="320">
        <f t="shared" si="2"/>
        <v>62.1</v>
      </c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</row>
    <row r="126" spans="1:18" ht="15">
      <c r="A126" s="184"/>
      <c r="B126" s="214" t="s">
        <v>60</v>
      </c>
      <c r="C126" s="215"/>
      <c r="D126" s="188">
        <f>SUM(D127)</f>
        <v>85000</v>
      </c>
      <c r="E126" s="188">
        <f>SUM(E127:E128)</f>
        <v>88300</v>
      </c>
      <c r="F126" s="188">
        <f>SUM(F127:F128)</f>
        <v>88300</v>
      </c>
      <c r="G126" s="188">
        <f>SUM(G127:G128)</f>
        <v>3300</v>
      </c>
      <c r="H126" s="318">
        <f t="shared" si="2"/>
        <v>100</v>
      </c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</row>
    <row r="127" spans="1:18" ht="15">
      <c r="A127" s="184" t="s">
        <v>61</v>
      </c>
      <c r="B127" s="199" t="s">
        <v>62</v>
      </c>
      <c r="C127" s="200" t="s">
        <v>6</v>
      </c>
      <c r="D127" s="191">
        <v>85000</v>
      </c>
      <c r="E127" s="191">
        <v>85000</v>
      </c>
      <c r="F127" s="191">
        <v>85000</v>
      </c>
      <c r="G127" s="191"/>
      <c r="H127" s="318">
        <f t="shared" si="2"/>
        <v>100</v>
      </c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</row>
    <row r="128" spans="1:18" ht="15">
      <c r="A128" s="184" t="s">
        <v>61</v>
      </c>
      <c r="B128" s="199" t="s">
        <v>331</v>
      </c>
      <c r="C128" s="200" t="s">
        <v>6</v>
      </c>
      <c r="D128" s="191"/>
      <c r="E128" s="191">
        <v>3300</v>
      </c>
      <c r="F128" s="191">
        <v>3300</v>
      </c>
      <c r="G128" s="191">
        <v>3300</v>
      </c>
      <c r="H128" s="318">
        <f t="shared" si="2"/>
        <v>100</v>
      </c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</row>
    <row r="129" spans="1:18" ht="15">
      <c r="A129" s="184"/>
      <c r="B129" s="197" t="s">
        <v>63</v>
      </c>
      <c r="C129" s="200"/>
      <c r="D129" s="191"/>
      <c r="E129" s="187">
        <f>SUM(E130,E131)</f>
        <v>6238</v>
      </c>
      <c r="F129" s="187">
        <f>SUM(F130,F131)</f>
        <v>6490.21</v>
      </c>
      <c r="G129" s="187">
        <f>SUM(G130,G131)</f>
        <v>1500</v>
      </c>
      <c r="H129" s="318">
        <f>ROUND(F129/E129*100,1)</f>
        <v>104</v>
      </c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</row>
    <row r="130" spans="1:18" ht="15">
      <c r="A130" s="184" t="s">
        <v>20</v>
      </c>
      <c r="B130" s="199" t="s">
        <v>64</v>
      </c>
      <c r="C130" s="200" t="s">
        <v>3</v>
      </c>
      <c r="D130" s="191"/>
      <c r="E130" s="191">
        <f>6238-3700</f>
        <v>2538</v>
      </c>
      <c r="F130" s="191">
        <v>2790.21</v>
      </c>
      <c r="G130" s="191">
        <v>1500</v>
      </c>
      <c r="H130" s="318">
        <f t="shared" si="2"/>
        <v>109.9</v>
      </c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</row>
    <row r="131" spans="1:18" ht="15">
      <c r="A131" s="184" t="s">
        <v>20</v>
      </c>
      <c r="B131" s="199" t="s">
        <v>314</v>
      </c>
      <c r="C131" s="200" t="s">
        <v>6</v>
      </c>
      <c r="D131" s="191"/>
      <c r="E131" s="191">
        <v>3700</v>
      </c>
      <c r="F131" s="191">
        <v>3700</v>
      </c>
      <c r="G131" s="191"/>
      <c r="H131" s="318">
        <f t="shared" si="2"/>
        <v>100</v>
      </c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</row>
    <row r="132" spans="1:18" ht="15">
      <c r="A132" s="184"/>
      <c r="B132" s="197" t="s">
        <v>65</v>
      </c>
      <c r="C132" s="196"/>
      <c r="D132" s="188">
        <f>SUM(D133:D136)</f>
        <v>178000</v>
      </c>
      <c r="E132" s="188">
        <f>SUM(E133:E136)</f>
        <v>203700</v>
      </c>
      <c r="F132" s="188">
        <f>SUM(F133:F136)</f>
        <v>197693.82</v>
      </c>
      <c r="G132" s="188">
        <f>SUM(G133:G136)</f>
        <v>27420.98</v>
      </c>
      <c r="H132" s="318">
        <f t="shared" si="2"/>
        <v>97.1</v>
      </c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</row>
    <row r="133" spans="1:18" ht="15">
      <c r="A133" s="184" t="s">
        <v>20</v>
      </c>
      <c r="B133" s="199" t="s">
        <v>66</v>
      </c>
      <c r="C133" s="200" t="s">
        <v>3</v>
      </c>
      <c r="D133" s="191">
        <v>45000</v>
      </c>
      <c r="E133" s="191">
        <v>45000</v>
      </c>
      <c r="F133" s="191">
        <v>45899.03</v>
      </c>
      <c r="G133" s="191">
        <v>24510</v>
      </c>
      <c r="H133" s="318">
        <f t="shared" si="2"/>
        <v>102</v>
      </c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</row>
    <row r="134" spans="1:18" ht="15">
      <c r="A134" s="184" t="s">
        <v>20</v>
      </c>
      <c r="B134" s="199" t="s">
        <v>67</v>
      </c>
      <c r="C134" s="200" t="s">
        <v>3</v>
      </c>
      <c r="D134" s="191">
        <v>89000</v>
      </c>
      <c r="E134" s="191">
        <v>89000</v>
      </c>
      <c r="F134" s="191">
        <v>82474.3</v>
      </c>
      <c r="G134" s="191">
        <v>1395</v>
      </c>
      <c r="H134" s="318">
        <f t="shared" si="2"/>
        <v>92.7</v>
      </c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</row>
    <row r="135" spans="1:18" ht="15">
      <c r="A135" s="184" t="s">
        <v>20</v>
      </c>
      <c r="B135" s="199" t="s">
        <v>68</v>
      </c>
      <c r="C135" s="200" t="s">
        <v>3</v>
      </c>
      <c r="D135" s="191">
        <v>44000</v>
      </c>
      <c r="E135" s="191">
        <f>44000+19000-3300</f>
        <v>59700</v>
      </c>
      <c r="F135" s="191">
        <v>58864.8</v>
      </c>
      <c r="G135" s="191"/>
      <c r="H135" s="318">
        <f t="shared" si="2"/>
        <v>98.6</v>
      </c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</row>
    <row r="136" spans="1:18" ht="15">
      <c r="A136" s="184" t="s">
        <v>20</v>
      </c>
      <c r="B136" s="199" t="s">
        <v>302</v>
      </c>
      <c r="C136" s="200" t="s">
        <v>3</v>
      </c>
      <c r="D136" s="191"/>
      <c r="E136" s="191">
        <v>10000</v>
      </c>
      <c r="F136" s="191">
        <v>10455.69</v>
      </c>
      <c r="G136" s="191">
        <v>1515.98</v>
      </c>
      <c r="H136" s="318">
        <f t="shared" si="2"/>
        <v>104.6</v>
      </c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</row>
    <row r="137" spans="1:18" ht="15">
      <c r="A137" s="184"/>
      <c r="B137" s="185" t="s">
        <v>69</v>
      </c>
      <c r="C137" s="186"/>
      <c r="D137" s="188">
        <f>SUM(D138,D140,D142)</f>
        <v>189000</v>
      </c>
      <c r="E137" s="188">
        <f>SUM(E138,E140,E142)</f>
        <v>680586</v>
      </c>
      <c r="F137" s="188">
        <f>SUM(F138,F140,F142)</f>
        <v>676476.94</v>
      </c>
      <c r="G137" s="188">
        <f>SUM(G138,G140,G142)</f>
        <v>136246.25</v>
      </c>
      <c r="H137" s="318">
        <f t="shared" si="2"/>
        <v>99.4</v>
      </c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</row>
    <row r="138" spans="1:18" ht="15">
      <c r="A138" s="184"/>
      <c r="B138" s="185" t="s">
        <v>70</v>
      </c>
      <c r="C138" s="186"/>
      <c r="D138" s="188">
        <f>SUM(D139)</f>
        <v>16000</v>
      </c>
      <c r="E138" s="188">
        <f>SUM(E139)</f>
        <v>28000</v>
      </c>
      <c r="F138" s="188">
        <f>SUM(F139)</f>
        <v>25644.3</v>
      </c>
      <c r="G138" s="188">
        <f>SUM(G139)</f>
        <v>10644.3</v>
      </c>
      <c r="H138" s="318">
        <f t="shared" si="2"/>
        <v>91.6</v>
      </c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</row>
    <row r="139" spans="1:18" ht="15">
      <c r="A139" s="184" t="s">
        <v>26</v>
      </c>
      <c r="B139" s="189" t="s">
        <v>71</v>
      </c>
      <c r="C139" s="190" t="s">
        <v>3</v>
      </c>
      <c r="D139" s="191">
        <v>16000</v>
      </c>
      <c r="E139" s="191">
        <f>16000+12000</f>
        <v>28000</v>
      </c>
      <c r="F139" s="191">
        <v>25644.3</v>
      </c>
      <c r="G139" s="191">
        <v>10644.3</v>
      </c>
      <c r="H139" s="318">
        <f t="shared" si="2"/>
        <v>91.6</v>
      </c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</row>
    <row r="140" spans="1:18" ht="15">
      <c r="A140" s="216"/>
      <c r="B140" s="194" t="s">
        <v>72</v>
      </c>
      <c r="C140" s="193"/>
      <c r="D140" s="188">
        <f>SUM(D141)</f>
        <v>12000</v>
      </c>
      <c r="E140" s="188">
        <f>SUM(E141)</f>
        <v>112000</v>
      </c>
      <c r="F140" s="188">
        <f>SUM(F141)</f>
        <v>112000</v>
      </c>
      <c r="G140" s="188">
        <f>SUM(G141)</f>
        <v>0</v>
      </c>
      <c r="H140" s="318">
        <f t="shared" si="2"/>
        <v>100</v>
      </c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</row>
    <row r="141" spans="1:18" ht="15">
      <c r="A141" s="184" t="s">
        <v>26</v>
      </c>
      <c r="B141" s="189" t="s">
        <v>73</v>
      </c>
      <c r="C141" s="190" t="s">
        <v>6</v>
      </c>
      <c r="D141" s="191">
        <v>12000</v>
      </c>
      <c r="E141" s="191">
        <f>12000+100000</f>
        <v>112000</v>
      </c>
      <c r="F141" s="191">
        <v>112000</v>
      </c>
      <c r="G141" s="191"/>
      <c r="H141" s="318">
        <f t="shared" si="2"/>
        <v>100</v>
      </c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</row>
    <row r="142" spans="1:18" ht="15">
      <c r="A142" s="184"/>
      <c r="B142" s="185" t="s">
        <v>74</v>
      </c>
      <c r="C142" s="190"/>
      <c r="D142" s="188">
        <f>SUM(D143:D157)</f>
        <v>161000</v>
      </c>
      <c r="E142" s="188">
        <f>SUM(E143:E157)</f>
        <v>540586</v>
      </c>
      <c r="F142" s="188">
        <f>SUM(F143:F157)</f>
        <v>538832.64</v>
      </c>
      <c r="G142" s="188">
        <f>SUM(G143:G157)</f>
        <v>125601.95000000001</v>
      </c>
      <c r="H142" s="318">
        <f t="shared" si="2"/>
        <v>99.7</v>
      </c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</row>
    <row r="143" spans="1:18" ht="15">
      <c r="A143" s="184" t="s">
        <v>26</v>
      </c>
      <c r="B143" s="213" t="s">
        <v>75</v>
      </c>
      <c r="C143" s="190" t="s">
        <v>3</v>
      </c>
      <c r="D143" s="191">
        <v>40000</v>
      </c>
      <c r="E143" s="191">
        <f>40000-120</f>
        <v>39880</v>
      </c>
      <c r="F143" s="191">
        <v>44350.8</v>
      </c>
      <c r="G143" s="191">
        <v>11892</v>
      </c>
      <c r="H143" s="318">
        <f t="shared" si="2"/>
        <v>111.2</v>
      </c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</row>
    <row r="144" spans="1:18" ht="15">
      <c r="A144" s="184" t="s">
        <v>26</v>
      </c>
      <c r="B144" s="213" t="s">
        <v>76</v>
      </c>
      <c r="C144" s="190" t="s">
        <v>3</v>
      </c>
      <c r="D144" s="191">
        <v>21000</v>
      </c>
      <c r="E144" s="191">
        <f>21000-14200</f>
        <v>6800</v>
      </c>
      <c r="F144" s="191">
        <v>6720</v>
      </c>
      <c r="G144" s="191"/>
      <c r="H144" s="318">
        <f t="shared" si="2"/>
        <v>98.8</v>
      </c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</row>
    <row r="145" spans="1:18" ht="15">
      <c r="A145" s="184" t="s">
        <v>26</v>
      </c>
      <c r="B145" s="213" t="s">
        <v>315</v>
      </c>
      <c r="C145" s="190" t="s">
        <v>3</v>
      </c>
      <c r="D145" s="191"/>
      <c r="E145" s="191">
        <v>3150</v>
      </c>
      <c r="F145" s="191">
        <v>3150</v>
      </c>
      <c r="G145" s="191"/>
      <c r="H145" s="318">
        <f t="shared" si="2"/>
        <v>100</v>
      </c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</row>
    <row r="146" spans="1:18" ht="15">
      <c r="A146" s="184" t="s">
        <v>26</v>
      </c>
      <c r="B146" s="213" t="s">
        <v>261</v>
      </c>
      <c r="C146" s="190" t="s">
        <v>3</v>
      </c>
      <c r="D146" s="191">
        <v>5000</v>
      </c>
      <c r="E146" s="191">
        <v>5000</v>
      </c>
      <c r="F146" s="191">
        <v>3540</v>
      </c>
      <c r="G146" s="191">
        <v>3540</v>
      </c>
      <c r="H146" s="318">
        <f t="shared" si="2"/>
        <v>70.8</v>
      </c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</row>
    <row r="147" spans="1:18" ht="15">
      <c r="A147" s="184" t="s">
        <v>26</v>
      </c>
      <c r="B147" s="213" t="s">
        <v>77</v>
      </c>
      <c r="C147" s="190" t="s">
        <v>3</v>
      </c>
      <c r="D147" s="191">
        <f>15000+15000</f>
        <v>30000</v>
      </c>
      <c r="E147" s="191">
        <f>15000+15000</f>
        <v>30000</v>
      </c>
      <c r="F147" s="191">
        <v>30000</v>
      </c>
      <c r="G147" s="191"/>
      <c r="H147" s="318">
        <f t="shared" si="2"/>
        <v>100</v>
      </c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</row>
    <row r="148" spans="1:18" ht="15">
      <c r="A148" s="184" t="s">
        <v>26</v>
      </c>
      <c r="B148" s="189" t="s">
        <v>78</v>
      </c>
      <c r="C148" s="190" t="s">
        <v>3</v>
      </c>
      <c r="D148" s="191">
        <v>65000</v>
      </c>
      <c r="E148" s="191">
        <f>65000+42400+11000</f>
        <v>118400</v>
      </c>
      <c r="F148" s="191">
        <v>117056.32</v>
      </c>
      <c r="G148" s="191">
        <v>3000</v>
      </c>
      <c r="H148" s="318">
        <f t="shared" si="2"/>
        <v>98.9</v>
      </c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</row>
    <row r="149" spans="1:18" ht="15">
      <c r="A149" s="184" t="s">
        <v>26</v>
      </c>
      <c r="B149" s="189" t="s">
        <v>262</v>
      </c>
      <c r="C149" s="190" t="s">
        <v>3</v>
      </c>
      <c r="D149" s="191"/>
      <c r="E149" s="191">
        <v>10000</v>
      </c>
      <c r="F149" s="191">
        <v>10601.15</v>
      </c>
      <c r="G149" s="191"/>
      <c r="H149" s="318">
        <f t="shared" si="2"/>
        <v>106</v>
      </c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</row>
    <row r="150" spans="1:18" ht="15">
      <c r="A150" s="184" t="s">
        <v>26</v>
      </c>
      <c r="B150" s="218" t="s">
        <v>79</v>
      </c>
      <c r="C150" s="219" t="s">
        <v>3</v>
      </c>
      <c r="D150" s="220"/>
      <c r="E150" s="220">
        <f>70000+45070</f>
        <v>115070</v>
      </c>
      <c r="F150" s="220">
        <v>111210.16</v>
      </c>
      <c r="G150" s="220">
        <v>105826.6</v>
      </c>
      <c r="H150" s="322">
        <f t="shared" si="2"/>
        <v>96.6</v>
      </c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</row>
    <row r="151" spans="1:18" ht="15">
      <c r="A151" s="184" t="s">
        <v>26</v>
      </c>
      <c r="B151" s="218" t="s">
        <v>263</v>
      </c>
      <c r="C151" s="219" t="s">
        <v>3</v>
      </c>
      <c r="D151" s="220"/>
      <c r="E151" s="220">
        <f>47000+7653</f>
        <v>54653</v>
      </c>
      <c r="F151" s="220">
        <v>54652.94</v>
      </c>
      <c r="G151" s="220"/>
      <c r="H151" s="318">
        <f t="shared" si="2"/>
        <v>100</v>
      </c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</row>
    <row r="152" spans="1:18" ht="15">
      <c r="A152" s="221" t="s">
        <v>26</v>
      </c>
      <c r="B152" s="222" t="s">
        <v>263</v>
      </c>
      <c r="C152" s="223" t="s">
        <v>3</v>
      </c>
      <c r="D152" s="224"/>
      <c r="E152" s="224">
        <v>70000</v>
      </c>
      <c r="F152" s="224">
        <v>70000</v>
      </c>
      <c r="G152" s="224"/>
      <c r="H152" s="320">
        <f t="shared" si="2"/>
        <v>100</v>
      </c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</row>
    <row r="153" spans="1:18" ht="15">
      <c r="A153" s="225" t="s">
        <v>26</v>
      </c>
      <c r="B153" s="222" t="s">
        <v>264</v>
      </c>
      <c r="C153" s="223" t="s">
        <v>3</v>
      </c>
      <c r="D153" s="224"/>
      <c r="E153" s="224">
        <v>70000</v>
      </c>
      <c r="F153" s="224">
        <v>69719.27</v>
      </c>
      <c r="G153" s="224">
        <v>1343.35</v>
      </c>
      <c r="H153" s="320">
        <f t="shared" si="2"/>
        <v>99.6</v>
      </c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</row>
    <row r="154" spans="1:18" ht="15">
      <c r="A154" s="184" t="s">
        <v>26</v>
      </c>
      <c r="B154" s="226" t="s">
        <v>80</v>
      </c>
      <c r="C154" s="219" t="s">
        <v>3</v>
      </c>
      <c r="D154" s="217"/>
      <c r="E154" s="217"/>
      <c r="F154" s="191">
        <v>303</v>
      </c>
      <c r="G154" s="191"/>
      <c r="H154" s="318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</row>
    <row r="155" spans="1:18" ht="15">
      <c r="A155" s="184" t="s">
        <v>26</v>
      </c>
      <c r="B155" s="226" t="s">
        <v>316</v>
      </c>
      <c r="C155" s="219" t="s">
        <v>3</v>
      </c>
      <c r="D155" s="219" t="s">
        <v>3</v>
      </c>
      <c r="E155" s="220">
        <v>120</v>
      </c>
      <c r="F155" s="191">
        <v>120</v>
      </c>
      <c r="G155" s="191"/>
      <c r="H155" s="318">
        <f t="shared" si="2"/>
        <v>100</v>
      </c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</row>
    <row r="156" spans="1:18" ht="15">
      <c r="A156" s="184" t="s">
        <v>26</v>
      </c>
      <c r="B156" s="226" t="s">
        <v>332</v>
      </c>
      <c r="C156" s="219" t="s">
        <v>3</v>
      </c>
      <c r="D156" s="217"/>
      <c r="E156" s="220">
        <v>9680</v>
      </c>
      <c r="F156" s="191">
        <v>9576</v>
      </c>
      <c r="G156" s="191"/>
      <c r="H156" s="318">
        <f t="shared" si="2"/>
        <v>98.9</v>
      </c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</row>
    <row r="157" spans="1:18" ht="15">
      <c r="A157" s="184" t="s">
        <v>26</v>
      </c>
      <c r="B157" s="227" t="s">
        <v>81</v>
      </c>
      <c r="C157" s="228" t="s">
        <v>3</v>
      </c>
      <c r="D157" s="203"/>
      <c r="E157" s="203">
        <v>7833</v>
      </c>
      <c r="F157" s="203">
        <v>7833</v>
      </c>
      <c r="G157" s="203"/>
      <c r="H157" s="320">
        <f t="shared" si="2"/>
        <v>100</v>
      </c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</row>
    <row r="158" spans="1:18" ht="15">
      <c r="A158" s="184"/>
      <c r="B158" s="185" t="s">
        <v>82</v>
      </c>
      <c r="C158" s="186"/>
      <c r="D158" s="187">
        <f>SUM(D159,D162,D171)</f>
        <v>507470</v>
      </c>
      <c r="E158" s="187">
        <f>SUM(E159,E162,E171)</f>
        <v>567992</v>
      </c>
      <c r="F158" s="187">
        <f>SUM(F159,F162,F171)</f>
        <v>531927.14</v>
      </c>
      <c r="G158" s="187">
        <f>SUM(G159,G162,G171)</f>
        <v>118546.22</v>
      </c>
      <c r="H158" s="318">
        <f t="shared" si="2"/>
        <v>93.7</v>
      </c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</row>
    <row r="159" spans="1:18" ht="15">
      <c r="A159" s="184"/>
      <c r="B159" s="197" t="s">
        <v>83</v>
      </c>
      <c r="C159" s="196"/>
      <c r="D159" s="188">
        <f>SUM(D160:D161)</f>
        <v>180000</v>
      </c>
      <c r="E159" s="188">
        <f>SUM(E160:E161)</f>
        <v>202287</v>
      </c>
      <c r="F159" s="188">
        <f>SUM(F160:F161)</f>
        <v>187389.2</v>
      </c>
      <c r="G159" s="188">
        <f>SUM(G160:G161)</f>
        <v>58695.75</v>
      </c>
      <c r="H159" s="318">
        <f t="shared" si="2"/>
        <v>92.6</v>
      </c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</row>
    <row r="160" spans="1:18" ht="15">
      <c r="A160" s="184" t="s">
        <v>20</v>
      </c>
      <c r="B160" s="199" t="s">
        <v>84</v>
      </c>
      <c r="C160" s="200" t="s">
        <v>3</v>
      </c>
      <c r="D160" s="191">
        <v>60000</v>
      </c>
      <c r="E160" s="191">
        <f>60000+6982+25000+15000</f>
        <v>106982</v>
      </c>
      <c r="F160" s="191">
        <v>96297.66</v>
      </c>
      <c r="G160" s="191">
        <v>35821.26</v>
      </c>
      <c r="H160" s="318">
        <f t="shared" si="2"/>
        <v>90</v>
      </c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</row>
    <row r="161" spans="1:18" ht="15">
      <c r="A161" s="184" t="s">
        <v>20</v>
      </c>
      <c r="B161" s="199" t="s">
        <v>85</v>
      </c>
      <c r="C161" s="200" t="s">
        <v>3</v>
      </c>
      <c r="D161" s="191">
        <v>120000</v>
      </c>
      <c r="E161" s="191">
        <f>120000+5305-15000-15000</f>
        <v>95305</v>
      </c>
      <c r="F161" s="191">
        <v>91091.54</v>
      </c>
      <c r="G161" s="191">
        <f>22473.09+401.4</f>
        <v>22874.49</v>
      </c>
      <c r="H161" s="318">
        <f t="shared" si="2"/>
        <v>95.6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</row>
    <row r="162" spans="1:18" ht="15">
      <c r="A162" s="184"/>
      <c r="B162" s="197" t="s">
        <v>86</v>
      </c>
      <c r="C162" s="215"/>
      <c r="D162" s="188">
        <f>SUM(D163:D170)</f>
        <v>304970</v>
      </c>
      <c r="E162" s="188">
        <f>SUM(E163:E170)</f>
        <v>322705</v>
      </c>
      <c r="F162" s="188">
        <f>SUM(F163:F170)</f>
        <v>321300.47</v>
      </c>
      <c r="G162" s="188">
        <f>SUM(G163:G170)</f>
        <v>59850.47</v>
      </c>
      <c r="H162" s="318">
        <f t="shared" si="2"/>
        <v>99.6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</row>
    <row r="163" spans="1:18" ht="15">
      <c r="A163" s="184" t="s">
        <v>26</v>
      </c>
      <c r="B163" s="199" t="s">
        <v>87</v>
      </c>
      <c r="C163" s="200" t="s">
        <v>3</v>
      </c>
      <c r="D163" s="191">
        <v>26460</v>
      </c>
      <c r="E163" s="191">
        <v>26460</v>
      </c>
      <c r="F163" s="191">
        <v>26707.77</v>
      </c>
      <c r="G163" s="191"/>
      <c r="H163" s="318">
        <f t="shared" si="2"/>
        <v>100.9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</row>
    <row r="164" spans="1:18" ht="15">
      <c r="A164" s="184" t="s">
        <v>26</v>
      </c>
      <c r="B164" s="201" t="s">
        <v>87</v>
      </c>
      <c r="C164" s="202" t="s">
        <v>3</v>
      </c>
      <c r="D164" s="203">
        <v>237510</v>
      </c>
      <c r="E164" s="203">
        <v>237510</v>
      </c>
      <c r="F164" s="203">
        <v>233062.23</v>
      </c>
      <c r="G164" s="203"/>
      <c r="H164" s="320">
        <f t="shared" si="2"/>
        <v>98.1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</row>
    <row r="165" spans="1:18" ht="15">
      <c r="A165" s="184" t="s">
        <v>26</v>
      </c>
      <c r="B165" s="199" t="s">
        <v>88</v>
      </c>
      <c r="C165" s="200" t="s">
        <v>3</v>
      </c>
      <c r="D165" s="191">
        <v>35000</v>
      </c>
      <c r="E165" s="191">
        <f>35000-35000</f>
        <v>0</v>
      </c>
      <c r="F165" s="191">
        <v>3580</v>
      </c>
      <c r="G165" s="220">
        <v>3580</v>
      </c>
      <c r="H165" s="318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</row>
    <row r="166" spans="1:18" ht="15">
      <c r="A166" s="184" t="s">
        <v>26</v>
      </c>
      <c r="B166" s="199" t="s">
        <v>265</v>
      </c>
      <c r="C166" s="200" t="s">
        <v>3</v>
      </c>
      <c r="D166" s="191"/>
      <c r="E166" s="191">
        <v>10000</v>
      </c>
      <c r="F166" s="191">
        <v>9024</v>
      </c>
      <c r="G166" s="191">
        <v>8184</v>
      </c>
      <c r="H166" s="318">
        <f t="shared" si="2"/>
        <v>90.2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</row>
    <row r="167" spans="1:18" ht="15">
      <c r="A167" s="184" t="s">
        <v>26</v>
      </c>
      <c r="B167" s="199" t="s">
        <v>266</v>
      </c>
      <c r="C167" s="200" t="s">
        <v>3</v>
      </c>
      <c r="D167" s="191"/>
      <c r="E167" s="191">
        <v>30000</v>
      </c>
      <c r="F167" s="191">
        <v>28320</v>
      </c>
      <c r="G167" s="191">
        <v>28320</v>
      </c>
      <c r="H167" s="318">
        <f t="shared" si="2"/>
        <v>94.4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</row>
    <row r="168" spans="1:18" ht="15">
      <c r="A168" s="184" t="s">
        <v>26</v>
      </c>
      <c r="B168" s="199" t="s">
        <v>267</v>
      </c>
      <c r="C168" s="200" t="s">
        <v>3</v>
      </c>
      <c r="D168" s="191"/>
      <c r="E168" s="191">
        <v>10000</v>
      </c>
      <c r="F168" s="191">
        <v>12060</v>
      </c>
      <c r="G168" s="191">
        <v>11220</v>
      </c>
      <c r="H168" s="318">
        <f t="shared" si="2"/>
        <v>120.6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</row>
    <row r="169" spans="1:18" ht="15">
      <c r="A169" s="184" t="s">
        <v>26</v>
      </c>
      <c r="B169" s="199" t="s">
        <v>333</v>
      </c>
      <c r="C169" s="200" t="s">
        <v>3</v>
      </c>
      <c r="D169" s="191"/>
      <c r="E169" s="191">
        <v>2735</v>
      </c>
      <c r="F169" s="191">
        <v>2666.66</v>
      </c>
      <c r="G169" s="191">
        <v>2666.66</v>
      </c>
      <c r="H169" s="318">
        <f t="shared" si="2"/>
        <v>97.5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</row>
    <row r="170" spans="1:18" ht="15">
      <c r="A170" s="184" t="s">
        <v>26</v>
      </c>
      <c r="B170" s="199" t="s">
        <v>89</v>
      </c>
      <c r="C170" s="200" t="s">
        <v>3</v>
      </c>
      <c r="D170" s="191">
        <v>6000</v>
      </c>
      <c r="E170" s="191">
        <v>6000</v>
      </c>
      <c r="F170" s="191">
        <v>5879.81</v>
      </c>
      <c r="G170" s="191">
        <v>5879.81</v>
      </c>
      <c r="H170" s="318">
        <f t="shared" si="2"/>
        <v>98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</row>
    <row r="171" spans="1:18" ht="15">
      <c r="A171" s="184"/>
      <c r="B171" s="197" t="s">
        <v>90</v>
      </c>
      <c r="C171" s="196"/>
      <c r="D171" s="188">
        <f>SUM(D172:D176)</f>
        <v>22500</v>
      </c>
      <c r="E171" s="188">
        <f>SUM(E172:E178)</f>
        <v>43000</v>
      </c>
      <c r="F171" s="188">
        <f>SUM(F172:F178)</f>
        <v>23237.47</v>
      </c>
      <c r="G171" s="188">
        <f>SUM(G172:G178)</f>
        <v>0</v>
      </c>
      <c r="H171" s="318">
        <f t="shared" si="2"/>
        <v>54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</row>
    <row r="172" spans="1:18" ht="15">
      <c r="A172" s="184" t="s">
        <v>26</v>
      </c>
      <c r="B172" s="199" t="s">
        <v>91</v>
      </c>
      <c r="C172" s="200" t="s">
        <v>3</v>
      </c>
      <c r="D172" s="191">
        <v>7500</v>
      </c>
      <c r="E172" s="191">
        <f>7500-2500</f>
        <v>5000</v>
      </c>
      <c r="F172" s="191">
        <v>4975.8</v>
      </c>
      <c r="G172" s="191"/>
      <c r="H172" s="318">
        <f t="shared" si="2"/>
        <v>99.5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</row>
    <row r="173" spans="1:18" ht="15">
      <c r="A173" s="184" t="s">
        <v>26</v>
      </c>
      <c r="B173" s="199" t="s">
        <v>268</v>
      </c>
      <c r="C173" s="200" t="s">
        <v>3</v>
      </c>
      <c r="D173" s="191"/>
      <c r="E173" s="191">
        <v>10800</v>
      </c>
      <c r="F173" s="191">
        <v>8930.88</v>
      </c>
      <c r="G173" s="191"/>
      <c r="H173" s="318">
        <f t="shared" si="2"/>
        <v>82.7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</row>
    <row r="174" spans="1:18" ht="15">
      <c r="A174" s="184" t="s">
        <v>26</v>
      </c>
      <c r="B174" s="199" t="s">
        <v>269</v>
      </c>
      <c r="C174" s="200" t="s">
        <v>3</v>
      </c>
      <c r="D174" s="191"/>
      <c r="E174" s="191">
        <v>4200</v>
      </c>
      <c r="F174" s="191">
        <v>3832.8</v>
      </c>
      <c r="G174" s="191"/>
      <c r="H174" s="318">
        <f aca="true" t="shared" si="3" ref="H174:H247">ROUND(F174/E174*100,1)</f>
        <v>91.3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</row>
    <row r="175" spans="1:18" ht="15">
      <c r="A175" s="184" t="s">
        <v>26</v>
      </c>
      <c r="B175" s="199" t="s">
        <v>334</v>
      </c>
      <c r="C175" s="200" t="s">
        <v>3</v>
      </c>
      <c r="D175" s="191"/>
      <c r="E175" s="191">
        <v>2500</v>
      </c>
      <c r="F175" s="191">
        <v>1896</v>
      </c>
      <c r="G175" s="191"/>
      <c r="H175" s="318">
        <f t="shared" si="3"/>
        <v>75.8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</row>
    <row r="176" spans="1:18" ht="15">
      <c r="A176" s="184" t="s">
        <v>26</v>
      </c>
      <c r="B176" s="199" t="s">
        <v>92</v>
      </c>
      <c r="C176" s="200" t="s">
        <v>3</v>
      </c>
      <c r="D176" s="191">
        <v>15000</v>
      </c>
      <c r="E176" s="191">
        <f>15000-15000</f>
        <v>0</v>
      </c>
      <c r="F176" s="187"/>
      <c r="G176" s="187"/>
      <c r="H176" s="318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</row>
    <row r="177" spans="1:18" ht="15">
      <c r="A177" s="184" t="s">
        <v>26</v>
      </c>
      <c r="B177" s="199" t="s">
        <v>335</v>
      </c>
      <c r="C177" s="200" t="s">
        <v>3</v>
      </c>
      <c r="D177" s="191"/>
      <c r="E177" s="191">
        <v>3500</v>
      </c>
      <c r="F177" s="191">
        <v>3576</v>
      </c>
      <c r="G177" s="191"/>
      <c r="H177" s="318">
        <f t="shared" si="3"/>
        <v>102.2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</row>
    <row r="178" spans="1:18" ht="15">
      <c r="A178" s="184" t="s">
        <v>26</v>
      </c>
      <c r="B178" s="199" t="s">
        <v>336</v>
      </c>
      <c r="C178" s="200" t="s">
        <v>3</v>
      </c>
      <c r="D178" s="191"/>
      <c r="E178" s="191">
        <v>17000</v>
      </c>
      <c r="F178" s="191">
        <v>25.99</v>
      </c>
      <c r="G178" s="191"/>
      <c r="H178" s="318">
        <f t="shared" si="3"/>
        <v>0.2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</row>
    <row r="179" spans="1:18" ht="15">
      <c r="A179" s="184"/>
      <c r="B179" s="185" t="s">
        <v>93</v>
      </c>
      <c r="C179" s="186"/>
      <c r="D179" s="187">
        <f>SUM(D180,D196,D201,D205,D210)</f>
        <v>682146</v>
      </c>
      <c r="E179" s="187">
        <f>SUM(E180,E196,E201,E205,E210,E208,E227,E225)</f>
        <v>1410799</v>
      </c>
      <c r="F179" s="187">
        <f>SUM(F180,F196,F201,F205,F210,F208,F227,F225)</f>
        <v>1397851.28</v>
      </c>
      <c r="G179" s="187">
        <f>SUM(G180,G196,G201,G205,G210,G208,G227,G225)</f>
        <v>48564.2</v>
      </c>
      <c r="H179" s="318">
        <f t="shared" si="3"/>
        <v>99.1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</row>
    <row r="180" spans="1:18" ht="15">
      <c r="A180" s="184"/>
      <c r="B180" s="197" t="s">
        <v>94</v>
      </c>
      <c r="C180" s="196"/>
      <c r="D180" s="188">
        <f>SUM(D181:D188)</f>
        <v>298350</v>
      </c>
      <c r="E180" s="188">
        <f>SUM(E181:E188)</f>
        <v>688564</v>
      </c>
      <c r="F180" s="188">
        <f>SUM(F181:F188)</f>
        <v>686185.3</v>
      </c>
      <c r="G180" s="188">
        <f>SUM(G181:G188)</f>
        <v>1500</v>
      </c>
      <c r="H180" s="318">
        <f t="shared" si="3"/>
        <v>99.7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</row>
    <row r="181" spans="1:18" ht="15">
      <c r="A181" s="184" t="s">
        <v>12</v>
      </c>
      <c r="B181" s="199" t="s">
        <v>95</v>
      </c>
      <c r="C181" s="200" t="s">
        <v>6</v>
      </c>
      <c r="D181" s="191">
        <v>48000</v>
      </c>
      <c r="E181" s="191">
        <v>48000</v>
      </c>
      <c r="F181" s="191">
        <v>48000</v>
      </c>
      <c r="G181" s="191"/>
      <c r="H181" s="318">
        <f t="shared" si="3"/>
        <v>100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</row>
    <row r="182" spans="1:18" ht="15">
      <c r="A182" s="184" t="s">
        <v>12</v>
      </c>
      <c r="B182" s="199" t="s">
        <v>96</v>
      </c>
      <c r="C182" s="200" t="s">
        <v>6</v>
      </c>
      <c r="D182" s="191">
        <v>48000</v>
      </c>
      <c r="E182" s="191">
        <v>48000</v>
      </c>
      <c r="F182" s="191">
        <v>48000</v>
      </c>
      <c r="G182" s="191"/>
      <c r="H182" s="318">
        <f t="shared" si="3"/>
        <v>100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</row>
    <row r="183" spans="1:18" ht="15">
      <c r="A183" s="184" t="s">
        <v>20</v>
      </c>
      <c r="B183" s="199" t="s">
        <v>97</v>
      </c>
      <c r="C183" s="200" t="s">
        <v>3</v>
      </c>
      <c r="D183" s="191">
        <f>150000+15000</f>
        <v>165000</v>
      </c>
      <c r="E183" s="191">
        <f>150000+15000+266000</f>
        <v>431000</v>
      </c>
      <c r="F183" s="191">
        <v>431091.04</v>
      </c>
      <c r="G183" s="191">
        <v>1500</v>
      </c>
      <c r="H183" s="318">
        <f t="shared" si="3"/>
        <v>100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</row>
    <row r="184" spans="1:18" ht="15">
      <c r="A184" s="184" t="s">
        <v>20</v>
      </c>
      <c r="B184" s="199" t="s">
        <v>270</v>
      </c>
      <c r="C184" s="200" t="s">
        <v>3</v>
      </c>
      <c r="D184" s="191"/>
      <c r="E184" s="191">
        <v>35000</v>
      </c>
      <c r="F184" s="191">
        <v>32530.26</v>
      </c>
      <c r="G184" s="191"/>
      <c r="H184" s="318">
        <f t="shared" si="3"/>
        <v>92.9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</row>
    <row r="185" spans="1:18" ht="15">
      <c r="A185" s="184" t="s">
        <v>16</v>
      </c>
      <c r="B185" s="199" t="s">
        <v>337</v>
      </c>
      <c r="C185" s="200" t="s">
        <v>6</v>
      </c>
      <c r="D185" s="191"/>
      <c r="E185" s="191">
        <v>4300</v>
      </c>
      <c r="F185" s="191">
        <v>4300</v>
      </c>
      <c r="G185" s="191"/>
      <c r="H185" s="318">
        <f t="shared" si="3"/>
        <v>100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</row>
    <row r="186" spans="1:18" ht="30">
      <c r="A186" s="184" t="s">
        <v>16</v>
      </c>
      <c r="B186" s="199" t="s">
        <v>338</v>
      </c>
      <c r="C186" s="200" t="s">
        <v>6</v>
      </c>
      <c r="D186" s="191"/>
      <c r="E186" s="191">
        <v>5000</v>
      </c>
      <c r="F186" s="191">
        <v>5000</v>
      </c>
      <c r="G186" s="191"/>
      <c r="H186" s="318">
        <f t="shared" si="3"/>
        <v>100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</row>
    <row r="187" spans="1:18" ht="15">
      <c r="A187" s="184" t="s">
        <v>20</v>
      </c>
      <c r="B187" s="199" t="s">
        <v>271</v>
      </c>
      <c r="C187" s="200" t="s">
        <v>3</v>
      </c>
      <c r="D187" s="191"/>
      <c r="E187" s="191">
        <v>4952</v>
      </c>
      <c r="F187" s="191">
        <v>4952</v>
      </c>
      <c r="G187" s="191"/>
      <c r="H187" s="318">
        <f t="shared" si="3"/>
        <v>100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</row>
    <row r="188" spans="1:18" ht="15">
      <c r="A188" s="184"/>
      <c r="B188" s="199" t="s">
        <v>98</v>
      </c>
      <c r="C188" s="200" t="s">
        <v>6</v>
      </c>
      <c r="D188" s="191">
        <f>SUM(D189:D195)</f>
        <v>37350</v>
      </c>
      <c r="E188" s="191">
        <f>SUM(E189:E195)</f>
        <v>112312</v>
      </c>
      <c r="F188" s="191">
        <f>SUM(F189:F195)</f>
        <v>112312</v>
      </c>
      <c r="G188" s="191"/>
      <c r="H188" s="318">
        <f t="shared" si="3"/>
        <v>100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</row>
    <row r="189" spans="1:18" ht="15">
      <c r="A189" s="184" t="s">
        <v>16</v>
      </c>
      <c r="B189" s="204" t="s">
        <v>99</v>
      </c>
      <c r="C189" s="200"/>
      <c r="D189" s="191">
        <v>22350</v>
      </c>
      <c r="E189" s="191">
        <v>22350</v>
      </c>
      <c r="F189" s="191">
        <v>22350</v>
      </c>
      <c r="G189" s="191"/>
      <c r="H189" s="318">
        <f t="shared" si="3"/>
        <v>100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</row>
    <row r="190" spans="1:18" ht="15">
      <c r="A190" s="184"/>
      <c r="B190" s="204" t="s">
        <v>339</v>
      </c>
      <c r="C190" s="200"/>
      <c r="D190" s="191"/>
      <c r="E190" s="191">
        <v>8029</v>
      </c>
      <c r="F190" s="191">
        <v>8029</v>
      </c>
      <c r="G190" s="191"/>
      <c r="H190" s="318">
        <f t="shared" si="3"/>
        <v>100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</row>
    <row r="191" spans="1:18" ht="15">
      <c r="A191" s="184"/>
      <c r="B191" s="204" t="s">
        <v>304</v>
      </c>
      <c r="C191" s="200"/>
      <c r="D191" s="191"/>
      <c r="E191" s="191">
        <v>6745</v>
      </c>
      <c r="F191" s="191">
        <v>6745</v>
      </c>
      <c r="G191" s="191"/>
      <c r="H191" s="318">
        <f t="shared" si="3"/>
        <v>100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</row>
    <row r="192" spans="1:18" ht="15">
      <c r="A192" s="184"/>
      <c r="B192" s="280" t="s">
        <v>340</v>
      </c>
      <c r="C192" s="281"/>
      <c r="D192" s="282"/>
      <c r="E192" s="282">
        <v>2000</v>
      </c>
      <c r="F192" s="282">
        <v>2000</v>
      </c>
      <c r="G192" s="282"/>
      <c r="H192" s="318">
        <f t="shared" si="3"/>
        <v>100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</row>
    <row r="193" spans="1:18" ht="15">
      <c r="A193" s="184" t="s">
        <v>20</v>
      </c>
      <c r="B193" s="199" t="s">
        <v>303</v>
      </c>
      <c r="C193" s="200"/>
      <c r="D193" s="191"/>
      <c r="E193" s="191">
        <v>13188</v>
      </c>
      <c r="F193" s="191">
        <v>13188</v>
      </c>
      <c r="G193" s="191"/>
      <c r="H193" s="318">
        <f>ROUND(F193/E193*100,1)</f>
        <v>100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</row>
    <row r="194" spans="1:18" ht="15">
      <c r="A194" s="184" t="s">
        <v>20</v>
      </c>
      <c r="B194" s="204" t="s">
        <v>100</v>
      </c>
      <c r="C194" s="200"/>
      <c r="D194" s="191">
        <v>15000</v>
      </c>
      <c r="E194" s="191">
        <f>15000</f>
        <v>15000</v>
      </c>
      <c r="F194" s="191">
        <v>15000</v>
      </c>
      <c r="G194" s="191"/>
      <c r="H194" s="318">
        <f t="shared" si="3"/>
        <v>100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</row>
    <row r="195" spans="1:18" ht="30">
      <c r="A195" s="184" t="s">
        <v>20</v>
      </c>
      <c r="B195" s="280" t="s">
        <v>341</v>
      </c>
      <c r="C195" s="281"/>
      <c r="D195" s="282"/>
      <c r="E195" s="282">
        <v>45000</v>
      </c>
      <c r="F195" s="282">
        <v>45000</v>
      </c>
      <c r="G195" s="282"/>
      <c r="H195" s="318">
        <f t="shared" si="3"/>
        <v>100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</row>
    <row r="196" spans="1:18" ht="15">
      <c r="A196" s="229"/>
      <c r="B196" s="230" t="s">
        <v>101</v>
      </c>
      <c r="C196" s="231"/>
      <c r="D196" s="232">
        <f>SUM(D197)</f>
        <v>53796</v>
      </c>
      <c r="E196" s="232">
        <f>SUM(E197)</f>
        <v>83796</v>
      </c>
      <c r="F196" s="232">
        <f>SUM(F197)</f>
        <v>83796</v>
      </c>
      <c r="G196" s="232">
        <f>SUM(G197)</f>
        <v>0</v>
      </c>
      <c r="H196" s="318">
        <f t="shared" si="3"/>
        <v>100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</row>
    <row r="197" spans="1:18" ht="15">
      <c r="A197" s="184"/>
      <c r="B197" s="233" t="s">
        <v>102</v>
      </c>
      <c r="C197" s="234" t="s">
        <v>6</v>
      </c>
      <c r="D197" s="235">
        <f>SUM(D198:D200)</f>
        <v>53796</v>
      </c>
      <c r="E197" s="235">
        <f>SUM(E198:E200)</f>
        <v>83796</v>
      </c>
      <c r="F197" s="235">
        <f>SUM(F198:F200)</f>
        <v>83796</v>
      </c>
      <c r="G197" s="235"/>
      <c r="H197" s="318">
        <f t="shared" si="3"/>
        <v>100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</row>
    <row r="198" spans="1:18" ht="15">
      <c r="A198" s="184" t="s">
        <v>16</v>
      </c>
      <c r="B198" s="204" t="s">
        <v>360</v>
      </c>
      <c r="C198" s="200"/>
      <c r="D198" s="191">
        <v>9196</v>
      </c>
      <c r="E198" s="191">
        <v>9196</v>
      </c>
      <c r="F198" s="191">
        <v>9196</v>
      </c>
      <c r="G198" s="191"/>
      <c r="H198" s="318">
        <f t="shared" si="3"/>
        <v>100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</row>
    <row r="199" spans="1:18" ht="15">
      <c r="A199" s="184" t="s">
        <v>16</v>
      </c>
      <c r="B199" s="204" t="s">
        <v>361</v>
      </c>
      <c r="C199" s="200"/>
      <c r="D199" s="191">
        <v>37600</v>
      </c>
      <c r="E199" s="191">
        <v>37600</v>
      </c>
      <c r="F199" s="191">
        <v>37600</v>
      </c>
      <c r="G199" s="191"/>
      <c r="H199" s="318">
        <f t="shared" si="3"/>
        <v>100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</row>
    <row r="200" spans="1:18" ht="15">
      <c r="A200" s="184" t="s">
        <v>16</v>
      </c>
      <c r="B200" s="204" t="s">
        <v>103</v>
      </c>
      <c r="C200" s="200"/>
      <c r="D200" s="191">
        <v>7000</v>
      </c>
      <c r="E200" s="191">
        <f>7000+30000</f>
        <v>37000</v>
      </c>
      <c r="F200" s="191">
        <v>37000</v>
      </c>
      <c r="G200" s="191"/>
      <c r="H200" s="318">
        <f t="shared" si="3"/>
        <v>100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</row>
    <row r="201" spans="1:18" ht="15">
      <c r="A201" s="184"/>
      <c r="B201" s="199" t="s">
        <v>104</v>
      </c>
      <c r="C201" s="200"/>
      <c r="D201" s="188">
        <f>SUM(D202:D203)</f>
        <v>70000</v>
      </c>
      <c r="E201" s="188">
        <f>SUM(E202:E204)</f>
        <v>51700</v>
      </c>
      <c r="F201" s="188">
        <f>SUM(F202:F204)</f>
        <v>52170</v>
      </c>
      <c r="G201" s="188">
        <f>SUM(G202:G204)</f>
        <v>6700</v>
      </c>
      <c r="H201" s="318">
        <f t="shared" si="3"/>
        <v>100.9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</row>
    <row r="202" spans="1:18" ht="15">
      <c r="A202" s="184" t="s">
        <v>20</v>
      </c>
      <c r="B202" s="214" t="s">
        <v>105</v>
      </c>
      <c r="C202" s="200" t="s">
        <v>3</v>
      </c>
      <c r="D202" s="191">
        <v>60000</v>
      </c>
      <c r="E202" s="191">
        <f>60000-25000</f>
        <v>35000</v>
      </c>
      <c r="F202" s="191">
        <v>35535</v>
      </c>
      <c r="G202" s="191"/>
      <c r="H202" s="318">
        <f t="shared" si="3"/>
        <v>101.5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</row>
    <row r="203" spans="1:18" ht="15">
      <c r="A203" s="184" t="s">
        <v>16</v>
      </c>
      <c r="B203" s="214" t="s">
        <v>106</v>
      </c>
      <c r="C203" s="200" t="s">
        <v>3</v>
      </c>
      <c r="D203" s="191">
        <v>10000</v>
      </c>
      <c r="E203" s="191">
        <v>10000</v>
      </c>
      <c r="F203" s="191">
        <v>9935</v>
      </c>
      <c r="G203" s="191"/>
      <c r="H203" s="318">
        <f t="shared" si="3"/>
        <v>99.4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</row>
    <row r="204" spans="1:18" ht="15">
      <c r="A204" s="184" t="s">
        <v>16</v>
      </c>
      <c r="B204" s="214" t="s">
        <v>362</v>
      </c>
      <c r="C204" s="200" t="s">
        <v>6</v>
      </c>
      <c r="D204" s="191"/>
      <c r="E204" s="191">
        <v>6700</v>
      </c>
      <c r="F204" s="191">
        <v>6700</v>
      </c>
      <c r="G204" s="191">
        <v>6700</v>
      </c>
      <c r="H204" s="318">
        <f t="shared" si="3"/>
        <v>100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</row>
    <row r="205" spans="1:18" ht="15">
      <c r="A205" s="184"/>
      <c r="B205" s="197" t="s">
        <v>107</v>
      </c>
      <c r="C205" s="196"/>
      <c r="D205" s="188">
        <f>SUM(D206:D207)</f>
        <v>10000</v>
      </c>
      <c r="E205" s="188">
        <f>SUM(E206:E207)</f>
        <v>94300</v>
      </c>
      <c r="F205" s="188">
        <f>SUM(F206:F207)</f>
        <v>91510.59</v>
      </c>
      <c r="G205" s="188"/>
      <c r="H205" s="318">
        <f t="shared" si="3"/>
        <v>97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</row>
    <row r="206" spans="1:18" ht="30">
      <c r="A206" s="184" t="s">
        <v>16</v>
      </c>
      <c r="B206" s="214" t="s">
        <v>108</v>
      </c>
      <c r="C206" s="200" t="s">
        <v>6</v>
      </c>
      <c r="D206" s="191">
        <v>10000</v>
      </c>
      <c r="E206" s="191">
        <v>10000</v>
      </c>
      <c r="F206" s="191">
        <v>10000</v>
      </c>
      <c r="G206" s="191"/>
      <c r="H206" s="318">
        <f t="shared" si="3"/>
        <v>100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</row>
    <row r="207" spans="1:18" ht="15">
      <c r="A207" s="184" t="s">
        <v>20</v>
      </c>
      <c r="B207" s="214" t="s">
        <v>272</v>
      </c>
      <c r="C207" s="200" t="s">
        <v>3</v>
      </c>
      <c r="D207" s="191"/>
      <c r="E207" s="191">
        <f>70000+14300</f>
        <v>84300</v>
      </c>
      <c r="F207" s="191">
        <v>81510.59</v>
      </c>
      <c r="G207" s="191"/>
      <c r="H207" s="318">
        <f t="shared" si="3"/>
        <v>96.7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</row>
    <row r="208" spans="1:18" ht="15">
      <c r="A208" s="184"/>
      <c r="B208" s="236" t="s">
        <v>273</v>
      </c>
      <c r="C208" s="200"/>
      <c r="D208" s="191"/>
      <c r="E208" s="187">
        <f>SUM(E209)</f>
        <v>30000</v>
      </c>
      <c r="F208" s="187">
        <f>SUM(F209)</f>
        <v>29992</v>
      </c>
      <c r="G208" s="187">
        <f>SUM(G209)</f>
        <v>29992.2</v>
      </c>
      <c r="H208" s="318">
        <f t="shared" si="3"/>
        <v>100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</row>
    <row r="209" spans="1:18" ht="30">
      <c r="A209" s="184" t="s">
        <v>20</v>
      </c>
      <c r="B209" s="214" t="s">
        <v>342</v>
      </c>
      <c r="C209" s="200" t="s">
        <v>3</v>
      </c>
      <c r="D209" s="191"/>
      <c r="E209" s="191">
        <v>30000</v>
      </c>
      <c r="F209" s="191">
        <v>29992</v>
      </c>
      <c r="G209" s="191">
        <f>29632.2+360</f>
        <v>29992.2</v>
      </c>
      <c r="H209" s="318">
        <f t="shared" si="3"/>
        <v>100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</row>
    <row r="210" spans="1:18" ht="15">
      <c r="A210" s="184"/>
      <c r="B210" s="197" t="s">
        <v>109</v>
      </c>
      <c r="C210" s="215"/>
      <c r="D210" s="188">
        <f>SUM(D211:D220)</f>
        <v>250000</v>
      </c>
      <c r="E210" s="188">
        <f>SUM(E211:E224)</f>
        <v>443439</v>
      </c>
      <c r="F210" s="188">
        <f>SUM(F211:F224)</f>
        <v>435197.39</v>
      </c>
      <c r="G210" s="188">
        <f>SUM(G211:G224)</f>
        <v>10372</v>
      </c>
      <c r="H210" s="318">
        <f t="shared" si="3"/>
        <v>98.1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</row>
    <row r="211" spans="1:18" ht="15">
      <c r="A211" s="184" t="s">
        <v>20</v>
      </c>
      <c r="B211" s="4" t="s">
        <v>110</v>
      </c>
      <c r="C211" s="200" t="s">
        <v>6</v>
      </c>
      <c r="D211" s="191">
        <v>128000</v>
      </c>
      <c r="E211" s="191">
        <v>128000</v>
      </c>
      <c r="F211" s="191">
        <v>128000</v>
      </c>
      <c r="G211" s="191"/>
      <c r="H211" s="318">
        <f t="shared" si="3"/>
        <v>100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</row>
    <row r="212" spans="1:18" ht="15">
      <c r="A212" s="184" t="s">
        <v>26</v>
      </c>
      <c r="B212" s="4" t="s">
        <v>111</v>
      </c>
      <c r="C212" s="200" t="s">
        <v>3</v>
      </c>
      <c r="D212" s="191">
        <v>50000</v>
      </c>
      <c r="E212" s="191">
        <f>50000+7500+37500+10039+9300</f>
        <v>114339</v>
      </c>
      <c r="F212" s="191">
        <f>114110.39</f>
        <v>114110.39</v>
      </c>
      <c r="G212" s="191"/>
      <c r="H212" s="318">
        <f t="shared" si="3"/>
        <v>99.8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</row>
    <row r="213" spans="1:18" ht="15">
      <c r="A213" s="283" t="s">
        <v>26</v>
      </c>
      <c r="B213" s="284" t="s">
        <v>111</v>
      </c>
      <c r="C213" s="285" t="s">
        <v>3</v>
      </c>
      <c r="D213" s="224"/>
      <c r="E213" s="224">
        <v>12500</v>
      </c>
      <c r="F213" s="224">
        <v>12500</v>
      </c>
      <c r="G213" s="224"/>
      <c r="H213" s="320">
        <f t="shared" si="3"/>
        <v>100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</row>
    <row r="214" spans="1:18" ht="15">
      <c r="A214" s="184" t="s">
        <v>112</v>
      </c>
      <c r="B214" s="4" t="s">
        <v>113</v>
      </c>
      <c r="C214" s="200" t="s">
        <v>6</v>
      </c>
      <c r="D214" s="191">
        <v>30000</v>
      </c>
      <c r="E214" s="191">
        <v>30000</v>
      </c>
      <c r="F214" s="191">
        <v>30000</v>
      </c>
      <c r="G214" s="191"/>
      <c r="H214" s="318">
        <f t="shared" si="3"/>
        <v>100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</row>
    <row r="215" spans="1:18" ht="15">
      <c r="A215" s="184" t="s">
        <v>20</v>
      </c>
      <c r="B215" s="4" t="s">
        <v>114</v>
      </c>
      <c r="C215" s="200" t="s">
        <v>6</v>
      </c>
      <c r="D215" s="191">
        <v>10000</v>
      </c>
      <c r="E215" s="191">
        <f>10000+7000</f>
        <v>17000</v>
      </c>
      <c r="F215" s="191">
        <v>17000</v>
      </c>
      <c r="G215" s="191"/>
      <c r="H215" s="318">
        <f t="shared" si="3"/>
        <v>100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</row>
    <row r="216" spans="1:18" ht="15">
      <c r="A216" s="184" t="s">
        <v>20</v>
      </c>
      <c r="B216" s="4" t="s">
        <v>274</v>
      </c>
      <c r="C216" s="200" t="s">
        <v>6</v>
      </c>
      <c r="D216" s="191"/>
      <c r="E216" s="191">
        <v>5000</v>
      </c>
      <c r="F216" s="191">
        <v>5000</v>
      </c>
      <c r="G216" s="191"/>
      <c r="H216" s="318">
        <f t="shared" si="3"/>
        <v>100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</row>
    <row r="217" spans="1:18" ht="15">
      <c r="A217" s="184" t="s">
        <v>20</v>
      </c>
      <c r="B217" s="4" t="s">
        <v>275</v>
      </c>
      <c r="C217" s="200" t="s">
        <v>6</v>
      </c>
      <c r="D217" s="191"/>
      <c r="E217" s="191">
        <v>5000</v>
      </c>
      <c r="F217" s="191">
        <v>5000</v>
      </c>
      <c r="G217" s="191"/>
      <c r="H217" s="318">
        <f t="shared" si="3"/>
        <v>100</v>
      </c>
      <c r="I217" s="326"/>
      <c r="J217" s="331"/>
      <c r="K217" s="326"/>
      <c r="L217" s="326"/>
      <c r="M217" s="326"/>
      <c r="N217" s="326"/>
      <c r="O217" s="326"/>
      <c r="P217" s="326"/>
      <c r="Q217" s="326"/>
      <c r="R217" s="326"/>
    </row>
    <row r="218" spans="1:18" ht="15">
      <c r="A218" s="184" t="s">
        <v>112</v>
      </c>
      <c r="B218" s="4" t="s">
        <v>115</v>
      </c>
      <c r="C218" s="200" t="s">
        <v>3</v>
      </c>
      <c r="D218" s="191"/>
      <c r="E218" s="191">
        <v>3400</v>
      </c>
      <c r="F218" s="191">
        <v>3400</v>
      </c>
      <c r="G218" s="191"/>
      <c r="H218" s="318">
        <f t="shared" si="3"/>
        <v>100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</row>
    <row r="219" spans="1:18" ht="15">
      <c r="A219" s="221" t="s">
        <v>112</v>
      </c>
      <c r="B219" s="5" t="s">
        <v>115</v>
      </c>
      <c r="C219" s="202" t="s">
        <v>3</v>
      </c>
      <c r="D219" s="203"/>
      <c r="E219" s="203">
        <v>37500</v>
      </c>
      <c r="F219" s="203">
        <v>37500</v>
      </c>
      <c r="G219" s="203"/>
      <c r="H219" s="320">
        <f t="shared" si="3"/>
        <v>100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</row>
    <row r="220" spans="1:18" ht="15">
      <c r="A220" s="184" t="s">
        <v>112</v>
      </c>
      <c r="B220" s="199" t="s">
        <v>116</v>
      </c>
      <c r="C220" s="200" t="s">
        <v>6</v>
      </c>
      <c r="D220" s="191">
        <v>32000</v>
      </c>
      <c r="E220" s="191">
        <v>32000</v>
      </c>
      <c r="F220" s="191">
        <v>23987</v>
      </c>
      <c r="G220" s="191">
        <v>10372</v>
      </c>
      <c r="H220" s="318">
        <f t="shared" si="3"/>
        <v>75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</row>
    <row r="221" spans="1:18" ht="15">
      <c r="A221" s="184" t="s">
        <v>112</v>
      </c>
      <c r="B221" s="199" t="s">
        <v>276</v>
      </c>
      <c r="C221" s="200" t="s">
        <v>6</v>
      </c>
      <c r="D221" s="191"/>
      <c r="E221" s="191">
        <v>15000</v>
      </c>
      <c r="F221" s="191">
        <v>15000</v>
      </c>
      <c r="G221" s="191"/>
      <c r="H221" s="318">
        <f t="shared" si="3"/>
        <v>100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</row>
    <row r="222" spans="1:18" ht="15">
      <c r="A222" s="184" t="s">
        <v>26</v>
      </c>
      <c r="B222" s="199" t="s">
        <v>277</v>
      </c>
      <c r="C222" s="200" t="s">
        <v>6</v>
      </c>
      <c r="D222" s="191"/>
      <c r="E222" s="191">
        <v>40000</v>
      </c>
      <c r="F222" s="191">
        <v>40000</v>
      </c>
      <c r="G222" s="191"/>
      <c r="H222" s="318">
        <f t="shared" si="3"/>
        <v>100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</row>
    <row r="223" spans="1:18" ht="15">
      <c r="A223" s="184" t="s">
        <v>26</v>
      </c>
      <c r="B223" s="199" t="s">
        <v>278</v>
      </c>
      <c r="C223" s="200" t="s">
        <v>3</v>
      </c>
      <c r="D223" s="191"/>
      <c r="E223" s="191">
        <v>1700</v>
      </c>
      <c r="F223" s="191">
        <v>1700</v>
      </c>
      <c r="G223" s="191"/>
      <c r="H223" s="318">
        <f t="shared" si="3"/>
        <v>100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</row>
    <row r="224" spans="1:18" ht="15">
      <c r="A224" s="184" t="s">
        <v>26</v>
      </c>
      <c r="B224" s="201" t="s">
        <v>279</v>
      </c>
      <c r="C224" s="202" t="s">
        <v>3</v>
      </c>
      <c r="D224" s="203"/>
      <c r="E224" s="203">
        <v>2000</v>
      </c>
      <c r="F224" s="203">
        <v>2000</v>
      </c>
      <c r="G224" s="203"/>
      <c r="H224" s="320">
        <f t="shared" si="3"/>
        <v>100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</row>
    <row r="225" spans="1:18" ht="15">
      <c r="A225" s="184"/>
      <c r="B225" s="237" t="s">
        <v>280</v>
      </c>
      <c r="C225" s="207"/>
      <c r="D225" s="208"/>
      <c r="E225" s="238">
        <f>SUM(E226)</f>
        <v>10000</v>
      </c>
      <c r="F225" s="238">
        <f>SUM(F226)</f>
        <v>10000</v>
      </c>
      <c r="G225" s="238"/>
      <c r="H225" s="318">
        <f t="shared" si="3"/>
        <v>100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</row>
    <row r="226" spans="1:18" ht="15">
      <c r="A226" s="184" t="s">
        <v>16</v>
      </c>
      <c r="B226" s="239" t="s">
        <v>281</v>
      </c>
      <c r="C226" s="207" t="s">
        <v>6</v>
      </c>
      <c r="D226" s="208"/>
      <c r="E226" s="208">
        <v>10000</v>
      </c>
      <c r="F226" s="208">
        <v>10000</v>
      </c>
      <c r="G226" s="208"/>
      <c r="H226" s="318">
        <f t="shared" si="3"/>
        <v>100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</row>
    <row r="227" spans="1:18" ht="15">
      <c r="A227" s="184"/>
      <c r="B227" s="197" t="s">
        <v>282</v>
      </c>
      <c r="C227" s="200"/>
      <c r="D227" s="191"/>
      <c r="E227" s="187">
        <v>9000</v>
      </c>
      <c r="F227" s="187">
        <f>SUM(F228)</f>
        <v>9000</v>
      </c>
      <c r="G227" s="187"/>
      <c r="H227" s="318">
        <f t="shared" si="3"/>
        <v>100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</row>
    <row r="228" spans="1:18" ht="15">
      <c r="A228" s="184" t="s">
        <v>20</v>
      </c>
      <c r="B228" s="199" t="s">
        <v>283</v>
      </c>
      <c r="C228" s="200" t="s">
        <v>3</v>
      </c>
      <c r="D228" s="191"/>
      <c r="E228" s="191">
        <v>9000</v>
      </c>
      <c r="F228" s="191">
        <v>9000</v>
      </c>
      <c r="G228" s="191"/>
      <c r="H228" s="318">
        <f t="shared" si="3"/>
        <v>100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</row>
    <row r="229" spans="1:18" ht="15">
      <c r="A229" s="184"/>
      <c r="B229" s="185" t="s">
        <v>117</v>
      </c>
      <c r="C229" s="186"/>
      <c r="D229" s="187">
        <f>SUM(D230,D250,D258,D267,D272)</f>
        <v>11211000</v>
      </c>
      <c r="E229" s="187">
        <f>SUM(E230,E250,E258,E267,E272)</f>
        <v>12744399</v>
      </c>
      <c r="F229" s="187">
        <f>SUM(F230,F250,F258,F267,F272)</f>
        <v>11796776.62</v>
      </c>
      <c r="G229" s="187">
        <f>SUM(G230,G250,G258,G267,G272)</f>
        <v>547940.11</v>
      </c>
      <c r="H229" s="318">
        <f t="shared" si="3"/>
        <v>92.6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</row>
    <row r="230" spans="1:18" ht="15">
      <c r="A230" s="184"/>
      <c r="B230" s="194" t="s">
        <v>118</v>
      </c>
      <c r="C230" s="186"/>
      <c r="D230" s="188">
        <f>SUM(D231:D248)</f>
        <v>1525000</v>
      </c>
      <c r="E230" s="188">
        <f>SUM(E231,E232,E234,E248,E249,E233)</f>
        <v>1740294</v>
      </c>
      <c r="F230" s="188">
        <f>SUM(F231,F232,F234,F248,F249,F233)</f>
        <v>1596990.42</v>
      </c>
      <c r="G230" s="188">
        <f>SUM(G231,G232,G234,G248,G249,G233)</f>
        <v>229329</v>
      </c>
      <c r="H230" s="318">
        <f t="shared" si="3"/>
        <v>91.8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</row>
    <row r="231" spans="1:18" ht="15">
      <c r="A231" s="184" t="s">
        <v>20</v>
      </c>
      <c r="B231" s="189" t="s">
        <v>119</v>
      </c>
      <c r="C231" s="190" t="s">
        <v>3</v>
      </c>
      <c r="D231" s="191">
        <v>270000</v>
      </c>
      <c r="E231" s="191">
        <f>270000-70000</f>
        <v>200000</v>
      </c>
      <c r="F231" s="191">
        <v>146695.2</v>
      </c>
      <c r="G231" s="191">
        <f>25704+1152</f>
        <v>26856</v>
      </c>
      <c r="H231" s="318">
        <f t="shared" si="3"/>
        <v>73.3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</row>
    <row r="232" spans="1:18" ht="15">
      <c r="A232" s="184" t="s">
        <v>20</v>
      </c>
      <c r="B232" s="227" t="s">
        <v>119</v>
      </c>
      <c r="C232" s="228" t="s">
        <v>3</v>
      </c>
      <c r="D232" s="203">
        <v>250000</v>
      </c>
      <c r="E232" s="203">
        <f>250000-200000</f>
        <v>50000</v>
      </c>
      <c r="F232" s="203"/>
      <c r="G232" s="203"/>
      <c r="H232" s="320">
        <f t="shared" si="3"/>
        <v>0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</row>
    <row r="233" spans="1:18" ht="15">
      <c r="A233" s="184" t="s">
        <v>14</v>
      </c>
      <c r="B233" s="189" t="s">
        <v>363</v>
      </c>
      <c r="C233" s="190" t="s">
        <v>3</v>
      </c>
      <c r="D233" s="191"/>
      <c r="E233" s="191">
        <v>1338</v>
      </c>
      <c r="F233" s="191">
        <v>2255</v>
      </c>
      <c r="G233" s="191">
        <v>2255</v>
      </c>
      <c r="H233" s="318">
        <f t="shared" si="3"/>
        <v>168.5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</row>
    <row r="234" spans="1:18" ht="15">
      <c r="A234" s="184" t="s">
        <v>20</v>
      </c>
      <c r="B234" s="189" t="s">
        <v>120</v>
      </c>
      <c r="C234" s="190" t="s">
        <v>3</v>
      </c>
      <c r="D234" s="191">
        <v>905000</v>
      </c>
      <c r="E234" s="191">
        <f>SUM(E235:E247)</f>
        <v>1368956</v>
      </c>
      <c r="F234" s="191">
        <f>SUM(F235:F247)</f>
        <v>1359915.22</v>
      </c>
      <c r="G234" s="191">
        <f>SUM(G235:G247)</f>
        <v>183496</v>
      </c>
      <c r="H234" s="318">
        <f t="shared" si="3"/>
        <v>99.3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</row>
    <row r="235" spans="1:18" ht="15">
      <c r="A235" s="184"/>
      <c r="B235" s="240" t="s">
        <v>364</v>
      </c>
      <c r="C235" s="190"/>
      <c r="D235" s="191"/>
      <c r="E235" s="191">
        <f>60000+10000</f>
        <v>70000</v>
      </c>
      <c r="F235" s="191">
        <v>88755.73</v>
      </c>
      <c r="G235" s="191">
        <v>31272.42</v>
      </c>
      <c r="H235" s="318">
        <f t="shared" si="3"/>
        <v>126.8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</row>
    <row r="236" spans="1:18" ht="15">
      <c r="A236" s="184"/>
      <c r="B236" s="241" t="s">
        <v>364</v>
      </c>
      <c r="C236" s="228"/>
      <c r="D236" s="203"/>
      <c r="E236" s="203">
        <f>31956</f>
        <v>31956</v>
      </c>
      <c r="F236" s="203">
        <v>28760</v>
      </c>
      <c r="G236" s="203"/>
      <c r="H236" s="320">
        <f t="shared" si="3"/>
        <v>90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</row>
    <row r="237" spans="1:18" ht="15">
      <c r="A237" s="184"/>
      <c r="B237" s="240" t="s">
        <v>121</v>
      </c>
      <c r="C237" s="190"/>
      <c r="D237" s="191"/>
      <c r="E237" s="191">
        <f>715000-38600+9000</f>
        <v>685400</v>
      </c>
      <c r="F237" s="191">
        <v>563761.81</v>
      </c>
      <c r="G237" s="191"/>
      <c r="H237" s="318">
        <f t="shared" si="3"/>
        <v>82.3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</row>
    <row r="238" spans="1:18" ht="15">
      <c r="A238" s="184"/>
      <c r="B238" s="241" t="s">
        <v>365</v>
      </c>
      <c r="C238" s="228"/>
      <c r="D238" s="203"/>
      <c r="E238" s="203">
        <v>37000</v>
      </c>
      <c r="F238" s="203">
        <v>46305.29</v>
      </c>
      <c r="G238" s="203">
        <v>6424.08</v>
      </c>
      <c r="H238" s="320">
        <f t="shared" si="3"/>
        <v>125.1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</row>
    <row r="239" spans="1:18" ht="15">
      <c r="A239" s="184"/>
      <c r="B239" s="240" t="s">
        <v>366</v>
      </c>
      <c r="C239" s="190"/>
      <c r="D239" s="191"/>
      <c r="E239" s="191">
        <v>105000</v>
      </c>
      <c r="F239" s="191">
        <v>83742.39</v>
      </c>
      <c r="G239" s="191"/>
      <c r="H239" s="318">
        <f t="shared" si="3"/>
        <v>79.8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</row>
    <row r="240" spans="1:18" ht="15">
      <c r="A240" s="184"/>
      <c r="B240" s="240" t="s">
        <v>367</v>
      </c>
      <c r="C240" s="190"/>
      <c r="D240" s="191"/>
      <c r="E240" s="191">
        <v>100000</v>
      </c>
      <c r="F240" s="191">
        <v>99605.46</v>
      </c>
      <c r="G240" s="191"/>
      <c r="H240" s="318">
        <f t="shared" si="3"/>
        <v>99.6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</row>
    <row r="241" spans="1:18" ht="15">
      <c r="A241" s="184"/>
      <c r="B241" s="240" t="s">
        <v>368</v>
      </c>
      <c r="C241" s="190"/>
      <c r="D241" s="191"/>
      <c r="E241" s="191">
        <v>110000</v>
      </c>
      <c r="F241" s="191">
        <v>119040.17</v>
      </c>
      <c r="G241" s="191">
        <v>28732.97</v>
      </c>
      <c r="H241" s="318">
        <f t="shared" si="3"/>
        <v>108.2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</row>
    <row r="242" spans="1:18" ht="15">
      <c r="A242" s="184"/>
      <c r="B242" s="240" t="s">
        <v>369</v>
      </c>
      <c r="C242" s="190"/>
      <c r="D242" s="191"/>
      <c r="E242" s="191">
        <v>90000</v>
      </c>
      <c r="F242" s="191">
        <v>90100.8</v>
      </c>
      <c r="G242" s="191"/>
      <c r="H242" s="318">
        <f t="shared" si="3"/>
        <v>100.1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</row>
    <row r="243" spans="1:18" ht="15">
      <c r="A243" s="184"/>
      <c r="B243" s="240" t="s">
        <v>370</v>
      </c>
      <c r="C243" s="190"/>
      <c r="D243" s="191"/>
      <c r="E243" s="191">
        <v>20000</v>
      </c>
      <c r="F243" s="191">
        <v>14371.2</v>
      </c>
      <c r="G243" s="191"/>
      <c r="H243" s="318">
        <f t="shared" si="3"/>
        <v>71.9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</row>
    <row r="244" spans="1:18" ht="15">
      <c r="A244" s="184"/>
      <c r="B244" s="240" t="s">
        <v>371</v>
      </c>
      <c r="C244" s="190"/>
      <c r="D244" s="191"/>
      <c r="E244" s="191">
        <v>50000</v>
      </c>
      <c r="F244" s="191">
        <v>41135.14</v>
      </c>
      <c r="G244" s="191">
        <v>41135.14</v>
      </c>
      <c r="H244" s="318">
        <f t="shared" si="3"/>
        <v>82.3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</row>
    <row r="245" spans="1:18" ht="15">
      <c r="A245" s="184"/>
      <c r="B245" s="240" t="s">
        <v>284</v>
      </c>
      <c r="C245" s="190"/>
      <c r="D245" s="191"/>
      <c r="E245" s="191">
        <f>15000+33800+4800-9000</f>
        <v>44600</v>
      </c>
      <c r="F245" s="191">
        <v>54971.23</v>
      </c>
      <c r="G245" s="191">
        <f>18685.53+24669.7</f>
        <v>43355.229999999996</v>
      </c>
      <c r="H245" s="318">
        <f t="shared" si="3"/>
        <v>123.3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</row>
    <row r="246" spans="1:18" ht="30">
      <c r="A246" s="184"/>
      <c r="B246" s="241" t="s">
        <v>285</v>
      </c>
      <c r="C246" s="228"/>
      <c r="D246" s="203"/>
      <c r="E246" s="203">
        <v>15000</v>
      </c>
      <c r="F246" s="203">
        <v>94293.84</v>
      </c>
      <c r="G246" s="203"/>
      <c r="H246" s="320">
        <f t="shared" si="3"/>
        <v>628.6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</row>
    <row r="247" spans="1:18" ht="15">
      <c r="A247" s="184"/>
      <c r="B247" s="241" t="s">
        <v>372</v>
      </c>
      <c r="C247" s="228"/>
      <c r="D247" s="203"/>
      <c r="E247" s="203">
        <v>10000</v>
      </c>
      <c r="F247" s="203">
        <v>35072.16</v>
      </c>
      <c r="G247" s="203">
        <v>32576.16</v>
      </c>
      <c r="H247" s="320">
        <f t="shared" si="3"/>
        <v>350.7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</row>
    <row r="248" spans="1:18" ht="15">
      <c r="A248" s="184"/>
      <c r="B248" s="189" t="s">
        <v>317</v>
      </c>
      <c r="C248" s="190" t="s">
        <v>3</v>
      </c>
      <c r="D248" s="191">
        <v>100000</v>
      </c>
      <c r="E248" s="191">
        <v>30000</v>
      </c>
      <c r="F248" s="191">
        <v>16722</v>
      </c>
      <c r="G248" s="191">
        <v>16722</v>
      </c>
      <c r="H248" s="318">
        <f>ROUND(F248/E248*100,1)</f>
        <v>55.7</v>
      </c>
      <c r="I248" s="326"/>
      <c r="J248" s="326" t="s">
        <v>343</v>
      </c>
      <c r="K248" s="326"/>
      <c r="L248" s="326"/>
      <c r="M248" s="326"/>
      <c r="N248" s="326"/>
      <c r="O248" s="326"/>
      <c r="P248" s="326"/>
      <c r="Q248" s="326"/>
      <c r="R248" s="326"/>
    </row>
    <row r="249" spans="1:18" ht="15">
      <c r="A249" s="184"/>
      <c r="B249" s="189" t="s">
        <v>318</v>
      </c>
      <c r="C249" s="190" t="s">
        <v>3</v>
      </c>
      <c r="D249" s="191"/>
      <c r="E249" s="191">
        <f>70000+20000</f>
        <v>90000</v>
      </c>
      <c r="F249" s="191">
        <v>71403</v>
      </c>
      <c r="G249" s="191"/>
      <c r="H249" s="318">
        <f>ROUND(F249/E249*100,1)</f>
        <v>79.3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</row>
    <row r="250" spans="1:18" ht="15">
      <c r="A250" s="184"/>
      <c r="B250" s="194" t="s">
        <v>122</v>
      </c>
      <c r="C250" s="186"/>
      <c r="D250" s="188">
        <f>SUM(D251)</f>
        <v>1189000</v>
      </c>
      <c r="E250" s="188">
        <f>SUM(E251)</f>
        <v>1472434</v>
      </c>
      <c r="F250" s="188">
        <f>SUM(F251)</f>
        <v>1445000.14</v>
      </c>
      <c r="G250" s="188">
        <f>SUM(G251)</f>
        <v>170571.56</v>
      </c>
      <c r="H250" s="318">
        <f aca="true" t="shared" si="4" ref="H250:H291">ROUND(F250/E250*100,1)</f>
        <v>98.1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</row>
    <row r="251" spans="1:18" ht="15">
      <c r="A251" s="184" t="s">
        <v>20</v>
      </c>
      <c r="B251" s="189" t="s">
        <v>123</v>
      </c>
      <c r="C251" s="190" t="s">
        <v>3</v>
      </c>
      <c r="D251" s="191">
        <v>1189000</v>
      </c>
      <c r="E251" s="191">
        <f>SUM(E252:E257)</f>
        <v>1472434</v>
      </c>
      <c r="F251" s="191">
        <f>SUM(F252,F253,F254,F255,F256,F257)</f>
        <v>1445000.14</v>
      </c>
      <c r="G251" s="191">
        <f>SUM(G252,G253,G254,G255,G256,G257)</f>
        <v>170571.56</v>
      </c>
      <c r="H251" s="318">
        <f t="shared" si="4"/>
        <v>98.1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</row>
    <row r="252" spans="1:18" ht="15">
      <c r="A252" s="184"/>
      <c r="B252" s="240" t="s">
        <v>124</v>
      </c>
      <c r="C252" s="190"/>
      <c r="D252" s="191"/>
      <c r="E252" s="191">
        <v>350000</v>
      </c>
      <c r="F252" s="191">
        <v>359450.05</v>
      </c>
      <c r="G252" s="191">
        <f>22233.46+54526.71</f>
        <v>76760.17</v>
      </c>
      <c r="H252" s="318">
        <f t="shared" si="4"/>
        <v>102.7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</row>
    <row r="253" spans="1:18" ht="15">
      <c r="A253" s="184"/>
      <c r="B253" s="240" t="s">
        <v>125</v>
      </c>
      <c r="C253" s="190"/>
      <c r="D253" s="191"/>
      <c r="E253" s="191">
        <f>110000+55000</f>
        <v>165000</v>
      </c>
      <c r="F253" s="191">
        <v>157062.81</v>
      </c>
      <c r="G253" s="191"/>
      <c r="H253" s="318">
        <f t="shared" si="4"/>
        <v>95.2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</row>
    <row r="254" spans="1:18" ht="15">
      <c r="A254" s="184"/>
      <c r="B254" s="240" t="s">
        <v>126</v>
      </c>
      <c r="C254" s="190"/>
      <c r="D254" s="191"/>
      <c r="E254" s="191">
        <f>475000+34700</f>
        <v>509700</v>
      </c>
      <c r="F254" s="191">
        <v>551669.29</v>
      </c>
      <c r="G254" s="191">
        <v>60351.84</v>
      </c>
      <c r="H254" s="318">
        <f t="shared" si="4"/>
        <v>108.2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</row>
    <row r="255" spans="1:18" ht="15">
      <c r="A255" s="184"/>
      <c r="B255" s="241" t="s">
        <v>126</v>
      </c>
      <c r="C255" s="228"/>
      <c r="D255" s="203"/>
      <c r="E255" s="203">
        <v>4695</v>
      </c>
      <c r="F255" s="203">
        <v>4743</v>
      </c>
      <c r="G255" s="203">
        <v>4743</v>
      </c>
      <c r="H255" s="320">
        <f t="shared" si="4"/>
        <v>101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</row>
    <row r="256" spans="1:18" ht="15">
      <c r="A256" s="184"/>
      <c r="B256" s="240" t="s">
        <v>127</v>
      </c>
      <c r="C256" s="190"/>
      <c r="D256" s="191"/>
      <c r="E256" s="191">
        <f>200000+159039+30000</f>
        <v>389039</v>
      </c>
      <c r="F256" s="191">
        <v>305868.4</v>
      </c>
      <c r="G256" s="191">
        <f>23122.44+1202.4</f>
        <v>24324.84</v>
      </c>
      <c r="H256" s="318">
        <f t="shared" si="4"/>
        <v>78.6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</row>
    <row r="257" spans="1:18" ht="15">
      <c r="A257" s="184"/>
      <c r="B257" s="240" t="s">
        <v>128</v>
      </c>
      <c r="C257" s="190"/>
      <c r="D257" s="191"/>
      <c r="E257" s="191">
        <v>54000</v>
      </c>
      <c r="F257" s="191">
        <v>66206.59</v>
      </c>
      <c r="G257" s="191">
        <v>4391.71</v>
      </c>
      <c r="H257" s="318">
        <f t="shared" si="4"/>
        <v>122.6</v>
      </c>
      <c r="I257" s="279"/>
      <c r="J257" s="326"/>
      <c r="K257" s="326"/>
      <c r="L257" s="326"/>
      <c r="M257" s="326"/>
      <c r="N257" s="326"/>
      <c r="O257" s="326"/>
      <c r="P257" s="326"/>
      <c r="Q257" s="326"/>
      <c r="R257" s="326"/>
    </row>
    <row r="258" spans="1:18" ht="15">
      <c r="A258" s="184"/>
      <c r="B258" s="242" t="s">
        <v>129</v>
      </c>
      <c r="C258" s="243"/>
      <c r="D258" s="244">
        <f>SUM(D259:D266)</f>
        <v>8199000</v>
      </c>
      <c r="E258" s="244">
        <f>SUM(E259:E266)</f>
        <v>8251536</v>
      </c>
      <c r="F258" s="244">
        <f>SUM(F259:F266)</f>
        <v>7602002.9799999995</v>
      </c>
      <c r="G258" s="244">
        <f>SUM(G259:G266)</f>
        <v>90807.11</v>
      </c>
      <c r="H258" s="318">
        <f t="shared" si="4"/>
        <v>92.1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</row>
    <row r="259" spans="1:18" ht="15">
      <c r="A259" s="184" t="s">
        <v>20</v>
      </c>
      <c r="B259" s="245" t="s">
        <v>130</v>
      </c>
      <c r="C259" s="246" t="s">
        <v>3</v>
      </c>
      <c r="D259" s="247">
        <f>60000</f>
        <v>60000</v>
      </c>
      <c r="E259" s="247">
        <f>60000+8000</f>
        <v>68000</v>
      </c>
      <c r="F259" s="191">
        <v>71746.6</v>
      </c>
      <c r="G259" s="220">
        <v>55549.6</v>
      </c>
      <c r="H259" s="318">
        <f t="shared" si="4"/>
        <v>105.5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</row>
    <row r="260" spans="1:18" ht="15">
      <c r="A260" s="184" t="s">
        <v>20</v>
      </c>
      <c r="B260" s="245" t="s">
        <v>286</v>
      </c>
      <c r="C260" s="246" t="s">
        <v>3</v>
      </c>
      <c r="D260" s="247"/>
      <c r="E260" s="247">
        <v>52000</v>
      </c>
      <c r="F260" s="191">
        <v>36458.1</v>
      </c>
      <c r="G260" s="220"/>
      <c r="H260" s="318">
        <f t="shared" si="4"/>
        <v>70.1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</row>
    <row r="261" spans="1:18" ht="15">
      <c r="A261" s="184" t="s">
        <v>20</v>
      </c>
      <c r="B261" s="245" t="s">
        <v>287</v>
      </c>
      <c r="C261" s="246" t="s">
        <v>3</v>
      </c>
      <c r="D261" s="247"/>
      <c r="E261" s="247">
        <v>30000</v>
      </c>
      <c r="F261" s="191">
        <v>37671.11</v>
      </c>
      <c r="G261" s="220">
        <v>35257.51</v>
      </c>
      <c r="H261" s="318">
        <f t="shared" si="4"/>
        <v>125.6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</row>
    <row r="262" spans="1:18" ht="15">
      <c r="A262" s="184" t="s">
        <v>20</v>
      </c>
      <c r="B262" s="248" t="s">
        <v>131</v>
      </c>
      <c r="C262" s="249" t="s">
        <v>3</v>
      </c>
      <c r="D262" s="250"/>
      <c r="E262" s="250">
        <v>9960</v>
      </c>
      <c r="F262" s="203"/>
      <c r="G262" s="260"/>
      <c r="H262" s="320">
        <f t="shared" si="4"/>
        <v>0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</row>
    <row r="263" spans="1:18" ht="15">
      <c r="A263" s="184" t="s">
        <v>20</v>
      </c>
      <c r="B263" s="245" t="s">
        <v>344</v>
      </c>
      <c r="C263" s="246" t="s">
        <v>3</v>
      </c>
      <c r="D263" s="247">
        <v>1969000</v>
      </c>
      <c r="E263" s="247">
        <f>1969000-37732-30000</f>
        <v>1901268</v>
      </c>
      <c r="F263" s="191">
        <v>1708554.84</v>
      </c>
      <c r="G263" s="191"/>
      <c r="H263" s="318">
        <f t="shared" si="4"/>
        <v>89.9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</row>
    <row r="264" spans="1:18" ht="15">
      <c r="A264" s="184" t="s">
        <v>20</v>
      </c>
      <c r="B264" s="245" t="s">
        <v>305</v>
      </c>
      <c r="C264" s="246" t="s">
        <v>3</v>
      </c>
      <c r="D264" s="247"/>
      <c r="E264" s="247">
        <v>10008</v>
      </c>
      <c r="F264" s="191">
        <v>10007.52</v>
      </c>
      <c r="G264" s="191"/>
      <c r="H264" s="318">
        <f t="shared" si="4"/>
        <v>100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</row>
    <row r="265" spans="1:18" ht="15">
      <c r="A265" s="184" t="s">
        <v>14</v>
      </c>
      <c r="B265" s="245" t="s">
        <v>288</v>
      </c>
      <c r="C265" s="246" t="s">
        <v>6</v>
      </c>
      <c r="D265" s="247"/>
      <c r="E265" s="247">
        <f>9000</f>
        <v>9000</v>
      </c>
      <c r="F265" s="191">
        <v>9000</v>
      </c>
      <c r="G265" s="191"/>
      <c r="H265" s="318">
        <f t="shared" si="4"/>
        <v>100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</row>
    <row r="266" spans="1:18" ht="15">
      <c r="A266" s="184" t="s">
        <v>20</v>
      </c>
      <c r="B266" s="248" t="s">
        <v>344</v>
      </c>
      <c r="C266" s="249" t="s">
        <v>3</v>
      </c>
      <c r="D266" s="203">
        <v>6170000</v>
      </c>
      <c r="E266" s="203">
        <f>6170000+1300</f>
        <v>6171300</v>
      </c>
      <c r="F266" s="203">
        <v>5728564.81</v>
      </c>
      <c r="G266" s="203"/>
      <c r="H266" s="320">
        <f t="shared" si="4"/>
        <v>92.8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</row>
    <row r="267" spans="1:18" ht="15">
      <c r="A267" s="184"/>
      <c r="B267" s="189" t="s">
        <v>132</v>
      </c>
      <c r="C267" s="246"/>
      <c r="D267" s="188">
        <f>SUM(D268)</f>
        <v>8000</v>
      </c>
      <c r="E267" s="188">
        <f>SUM(E268:E271)</f>
        <v>480989</v>
      </c>
      <c r="F267" s="188">
        <f>SUM(F268:F271)</f>
        <v>480989.03</v>
      </c>
      <c r="G267" s="188">
        <f>SUM(G268:G271)</f>
        <v>2976</v>
      </c>
      <c r="H267" s="318">
        <f t="shared" si="4"/>
        <v>100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</row>
    <row r="268" spans="1:18" ht="15">
      <c r="A268" s="184" t="s">
        <v>14</v>
      </c>
      <c r="B268" s="227" t="s">
        <v>133</v>
      </c>
      <c r="C268" s="249" t="s">
        <v>3</v>
      </c>
      <c r="D268" s="203">
        <v>8000</v>
      </c>
      <c r="E268" s="203">
        <f>40000+58981+35723</f>
        <v>134704</v>
      </c>
      <c r="F268" s="203">
        <v>134704</v>
      </c>
      <c r="G268" s="203"/>
      <c r="H268" s="320">
        <f t="shared" si="4"/>
        <v>100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</row>
    <row r="269" spans="1:18" ht="27" customHeight="1">
      <c r="A269" s="184" t="s">
        <v>14</v>
      </c>
      <c r="B269" s="227" t="s">
        <v>319</v>
      </c>
      <c r="C269" s="249" t="s">
        <v>3</v>
      </c>
      <c r="D269" s="203"/>
      <c r="E269" s="203">
        <f>231724-28358</f>
        <v>203366</v>
      </c>
      <c r="F269" s="203">
        <v>203365.53</v>
      </c>
      <c r="G269" s="203"/>
      <c r="H269" s="320">
        <f t="shared" si="4"/>
        <v>100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</row>
    <row r="270" spans="1:18" ht="15">
      <c r="A270" s="184" t="s">
        <v>14</v>
      </c>
      <c r="B270" s="227" t="s">
        <v>289</v>
      </c>
      <c r="C270" s="249" t="s">
        <v>3</v>
      </c>
      <c r="D270" s="203"/>
      <c r="E270" s="203">
        <f>78599-2192-7365-25123</f>
        <v>43919</v>
      </c>
      <c r="F270" s="203">
        <v>43919.5</v>
      </c>
      <c r="G270" s="203">
        <v>2976</v>
      </c>
      <c r="H270" s="320">
        <f t="shared" si="4"/>
        <v>100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</row>
    <row r="271" spans="1:18" ht="15">
      <c r="A271" s="184" t="s">
        <v>14</v>
      </c>
      <c r="B271" s="227" t="s">
        <v>320</v>
      </c>
      <c r="C271" s="249" t="s">
        <v>3</v>
      </c>
      <c r="D271" s="203"/>
      <c r="E271" s="203">
        <v>99000</v>
      </c>
      <c r="F271" s="203">
        <v>99000</v>
      </c>
      <c r="G271" s="203"/>
      <c r="H271" s="32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</row>
    <row r="272" spans="1:18" ht="15">
      <c r="A272" s="184"/>
      <c r="B272" s="194" t="s">
        <v>134</v>
      </c>
      <c r="C272" s="186"/>
      <c r="D272" s="188">
        <f>SUM(D273:D278)</f>
        <v>290000</v>
      </c>
      <c r="E272" s="188">
        <f>SUM(E273:E279)</f>
        <v>799146</v>
      </c>
      <c r="F272" s="188">
        <f>SUM(F273:F279)</f>
        <v>671794.05</v>
      </c>
      <c r="G272" s="188">
        <f>SUM(G273:G279)</f>
        <v>54256.439999999995</v>
      </c>
      <c r="H272" s="318">
        <f t="shared" si="4"/>
        <v>84.1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</row>
    <row r="273" spans="1:18" ht="15">
      <c r="A273" s="17" t="s">
        <v>20</v>
      </c>
      <c r="B273" s="189" t="s">
        <v>135</v>
      </c>
      <c r="C273" s="190" t="s">
        <v>3</v>
      </c>
      <c r="D273" s="191">
        <v>200000</v>
      </c>
      <c r="E273" s="191">
        <f>200000+167574+100000+50000</f>
        <v>517574</v>
      </c>
      <c r="F273" s="191">
        <v>421317.86</v>
      </c>
      <c r="G273" s="191">
        <f>19059.27+9544.88</f>
        <v>28604.15</v>
      </c>
      <c r="H273" s="318">
        <f t="shared" si="4"/>
        <v>81.4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</row>
    <row r="274" spans="1:18" ht="15">
      <c r="A274" s="184" t="s">
        <v>20</v>
      </c>
      <c r="B274" s="227" t="s">
        <v>135</v>
      </c>
      <c r="C274" s="190" t="s">
        <v>3</v>
      </c>
      <c r="D274" s="203"/>
      <c r="E274" s="203">
        <v>24800</v>
      </c>
      <c r="F274" s="203"/>
      <c r="G274" s="203"/>
      <c r="H274" s="320">
        <f t="shared" si="4"/>
        <v>0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</row>
    <row r="275" spans="1:18" ht="15">
      <c r="A275" s="184" t="s">
        <v>20</v>
      </c>
      <c r="B275" s="189" t="s">
        <v>136</v>
      </c>
      <c r="C275" s="190" t="s">
        <v>3</v>
      </c>
      <c r="D275" s="191">
        <v>10000</v>
      </c>
      <c r="E275" s="191">
        <v>10000</v>
      </c>
      <c r="F275" s="191">
        <v>10584.8</v>
      </c>
      <c r="G275" s="191">
        <v>8992.8</v>
      </c>
      <c r="H275" s="318">
        <f t="shared" si="4"/>
        <v>105.8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</row>
    <row r="276" spans="1:18" ht="15">
      <c r="A276" s="184" t="s">
        <v>20</v>
      </c>
      <c r="B276" s="189" t="s">
        <v>290</v>
      </c>
      <c r="C276" s="190" t="s">
        <v>3</v>
      </c>
      <c r="D276" s="191"/>
      <c r="E276" s="191">
        <v>100000</v>
      </c>
      <c r="F276" s="191">
        <v>93828.38</v>
      </c>
      <c r="G276" s="191">
        <f>2040+1213.68</f>
        <v>3253.6800000000003</v>
      </c>
      <c r="H276" s="318">
        <f t="shared" si="4"/>
        <v>93.8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</row>
    <row r="277" spans="1:18" ht="15">
      <c r="A277" s="184" t="s">
        <v>20</v>
      </c>
      <c r="B277" s="189" t="s">
        <v>291</v>
      </c>
      <c r="C277" s="190" t="s">
        <v>3</v>
      </c>
      <c r="D277" s="191"/>
      <c r="E277" s="191">
        <v>35000</v>
      </c>
      <c r="F277" s="191">
        <v>34955.28</v>
      </c>
      <c r="G277" s="191"/>
      <c r="H277" s="318">
        <f t="shared" si="4"/>
        <v>99.9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</row>
    <row r="278" spans="1:18" ht="15">
      <c r="A278" s="184" t="s">
        <v>20</v>
      </c>
      <c r="B278" s="189" t="s">
        <v>137</v>
      </c>
      <c r="C278" s="190" t="s">
        <v>3</v>
      </c>
      <c r="D278" s="191">
        <v>80000</v>
      </c>
      <c r="E278" s="191">
        <f>80000+16000</f>
        <v>96000</v>
      </c>
      <c r="F278" s="191">
        <v>95335.84</v>
      </c>
      <c r="G278" s="191">
        <f>13080+325.81</f>
        <v>13405.81</v>
      </c>
      <c r="H278" s="318">
        <f t="shared" si="4"/>
        <v>99.3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</row>
    <row r="279" spans="1:18" ht="15">
      <c r="A279" s="221" t="s">
        <v>14</v>
      </c>
      <c r="B279" s="227" t="s">
        <v>138</v>
      </c>
      <c r="C279" s="228" t="s">
        <v>3</v>
      </c>
      <c r="D279" s="203"/>
      <c r="E279" s="203">
        <f>8188+7584</f>
        <v>15772</v>
      </c>
      <c r="F279" s="203">
        <v>15771.89</v>
      </c>
      <c r="G279" s="203"/>
      <c r="H279" s="320">
        <f t="shared" si="4"/>
        <v>100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</row>
    <row r="280" spans="1:18" ht="15">
      <c r="A280" s="184"/>
      <c r="B280" s="185" t="s">
        <v>139</v>
      </c>
      <c r="C280" s="186"/>
      <c r="D280" s="187">
        <f>SUM(D283,D286,D290)</f>
        <v>512200</v>
      </c>
      <c r="E280" s="187">
        <f>SUM(E283,E286,E290,E281)</f>
        <v>550770</v>
      </c>
      <c r="F280" s="187">
        <f>SUM(F283,F286,F290,F281)</f>
        <v>542436.02</v>
      </c>
      <c r="G280" s="187">
        <f>SUM(G283,G286,G290,G281)</f>
        <v>17714</v>
      </c>
      <c r="H280" s="318">
        <f t="shared" si="4"/>
        <v>98.5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</row>
    <row r="281" spans="1:18" ht="15">
      <c r="A281" s="184"/>
      <c r="B281" s="194" t="s">
        <v>292</v>
      </c>
      <c r="C281" s="186"/>
      <c r="D281" s="187"/>
      <c r="E281" s="187">
        <f>SUM(E282)</f>
        <v>10000</v>
      </c>
      <c r="F281" s="187">
        <f>SUM(F282)</f>
        <v>6804</v>
      </c>
      <c r="G281" s="187">
        <f>SUM(G282)</f>
        <v>6804</v>
      </c>
      <c r="H281" s="323">
        <f>SUM(H282)</f>
        <v>95.8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</row>
    <row r="282" spans="1:18" ht="30">
      <c r="A282" s="184" t="s">
        <v>20</v>
      </c>
      <c r="B282" s="189" t="s">
        <v>293</v>
      </c>
      <c r="C282" s="190" t="s">
        <v>3</v>
      </c>
      <c r="D282" s="187"/>
      <c r="E282" s="191">
        <v>10000</v>
      </c>
      <c r="F282" s="191">
        <v>6804</v>
      </c>
      <c r="G282" s="191">
        <v>6804</v>
      </c>
      <c r="H282" s="324">
        <f>SUM(H283)</f>
        <v>95.8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</row>
    <row r="283" spans="1:18" ht="15">
      <c r="A283" s="184"/>
      <c r="B283" s="185" t="s">
        <v>140</v>
      </c>
      <c r="C283" s="186"/>
      <c r="D283" s="188">
        <f>SUM(D284:D285)</f>
        <v>22200</v>
      </c>
      <c r="E283" s="188">
        <f>SUM(E284:E285)</f>
        <v>22200</v>
      </c>
      <c r="F283" s="188">
        <f>SUM(F284:F285)</f>
        <v>21256.6</v>
      </c>
      <c r="G283" s="188">
        <f>SUM(G284:G285)</f>
        <v>0</v>
      </c>
      <c r="H283" s="318">
        <f t="shared" si="4"/>
        <v>95.8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</row>
    <row r="284" spans="1:18" ht="15">
      <c r="A284" s="184" t="s">
        <v>141</v>
      </c>
      <c r="B284" s="189" t="s">
        <v>345</v>
      </c>
      <c r="C284" s="190" t="s">
        <v>3</v>
      </c>
      <c r="D284" s="191">
        <v>12700</v>
      </c>
      <c r="E284" s="191">
        <v>12700</v>
      </c>
      <c r="F284" s="191">
        <v>11868</v>
      </c>
      <c r="G284" s="191"/>
      <c r="H284" s="318">
        <f t="shared" si="4"/>
        <v>93.4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</row>
    <row r="285" spans="1:18" ht="15">
      <c r="A285" s="184" t="s">
        <v>141</v>
      </c>
      <c r="B285" s="189" t="s">
        <v>346</v>
      </c>
      <c r="C285" s="190" t="s">
        <v>3</v>
      </c>
      <c r="D285" s="191">
        <v>9500</v>
      </c>
      <c r="E285" s="191">
        <v>9500</v>
      </c>
      <c r="F285" s="191">
        <v>9388.6</v>
      </c>
      <c r="G285" s="191"/>
      <c r="H285" s="318">
        <f t="shared" si="4"/>
        <v>98.8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</row>
    <row r="286" spans="1:18" ht="15">
      <c r="A286" s="184"/>
      <c r="B286" s="194" t="s">
        <v>142</v>
      </c>
      <c r="C286" s="193"/>
      <c r="D286" s="188">
        <f>SUM(D287:D288)</f>
        <v>50000</v>
      </c>
      <c r="E286" s="188">
        <f>SUM(E287:E289)</f>
        <v>78570</v>
      </c>
      <c r="F286" s="188">
        <f>SUM(F287:F289)</f>
        <v>74375.42</v>
      </c>
      <c r="G286" s="188">
        <f>SUM(G287:G289)</f>
        <v>10910</v>
      </c>
      <c r="H286" s="318">
        <f t="shared" si="4"/>
        <v>94.7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</row>
    <row r="287" spans="1:18" ht="15">
      <c r="A287" s="184" t="s">
        <v>20</v>
      </c>
      <c r="B287" s="189" t="s">
        <v>143</v>
      </c>
      <c r="C287" s="190" t="s">
        <v>3</v>
      </c>
      <c r="D287" s="191">
        <v>35000</v>
      </c>
      <c r="E287" s="191">
        <f>35000+7100</f>
        <v>42100</v>
      </c>
      <c r="F287" s="191">
        <v>41378</v>
      </c>
      <c r="G287" s="191">
        <v>10910</v>
      </c>
      <c r="H287" s="318">
        <f t="shared" si="4"/>
        <v>98.3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</row>
    <row r="288" spans="1:18" ht="15">
      <c r="A288" s="184" t="s">
        <v>20</v>
      </c>
      <c r="B288" s="189" t="s">
        <v>144</v>
      </c>
      <c r="C288" s="190" t="s">
        <v>3</v>
      </c>
      <c r="D288" s="191">
        <v>15000</v>
      </c>
      <c r="E288" s="191">
        <f>18000+15000</f>
        <v>33000</v>
      </c>
      <c r="F288" s="191">
        <v>32997.42</v>
      </c>
      <c r="G288" s="191"/>
      <c r="H288" s="318">
        <f t="shared" si="4"/>
        <v>100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</row>
    <row r="289" spans="1:18" ht="15">
      <c r="A289" s="286" t="s">
        <v>20</v>
      </c>
      <c r="B289" s="287" t="s">
        <v>144</v>
      </c>
      <c r="C289" s="289" t="s">
        <v>3</v>
      </c>
      <c r="D289" s="288"/>
      <c r="E289" s="288">
        <v>3470</v>
      </c>
      <c r="F289" s="288"/>
      <c r="G289" s="288"/>
      <c r="H289" s="325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</row>
    <row r="290" spans="1:18" ht="15">
      <c r="A290" s="184"/>
      <c r="B290" s="251" t="s">
        <v>145</v>
      </c>
      <c r="C290" s="193"/>
      <c r="D290" s="188">
        <f>SUM(D291:D291)</f>
        <v>440000</v>
      </c>
      <c r="E290" s="188">
        <f>SUM(E291:E291)</f>
        <v>440000</v>
      </c>
      <c r="F290" s="188">
        <f>SUM(F291:F291)</f>
        <v>440000</v>
      </c>
      <c r="G290" s="188">
        <f>SUM(G291:G291)</f>
        <v>0</v>
      </c>
      <c r="H290" s="318">
        <f t="shared" si="4"/>
        <v>100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</row>
    <row r="291" spans="1:18" ht="15">
      <c r="A291" s="184" t="s">
        <v>20</v>
      </c>
      <c r="B291" s="189" t="s">
        <v>146</v>
      </c>
      <c r="C291" s="190" t="s">
        <v>6</v>
      </c>
      <c r="D291" s="191">
        <v>440000</v>
      </c>
      <c r="E291" s="191">
        <v>440000</v>
      </c>
      <c r="F291" s="191">
        <v>440000</v>
      </c>
      <c r="G291" s="191"/>
      <c r="H291" s="318">
        <f t="shared" si="4"/>
        <v>100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</row>
    <row r="292" spans="1:18" ht="15">
      <c r="A292" s="184"/>
      <c r="B292" s="252" t="s">
        <v>147</v>
      </c>
      <c r="C292" s="253"/>
      <c r="D292" s="253"/>
      <c r="E292" s="254"/>
      <c r="F292" s="254"/>
      <c r="G292" s="254"/>
      <c r="H292" s="254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</row>
    <row r="293" spans="9:18" ht="15"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</row>
    <row r="294" spans="9:18" ht="15"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</row>
    <row r="295" spans="9:18" ht="15"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</row>
    <row r="296" spans="9:18" ht="15"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</row>
    <row r="297" spans="9:18" ht="15"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</row>
  </sheetData>
  <sheetProtection/>
  <mergeCells count="9">
    <mergeCell ref="B3:B4"/>
    <mergeCell ref="D3:E3"/>
    <mergeCell ref="F3:F4"/>
    <mergeCell ref="H3:H4"/>
    <mergeCell ref="B11:F11"/>
    <mergeCell ref="B13:B14"/>
    <mergeCell ref="D13:E13"/>
    <mergeCell ref="F13:F14"/>
    <mergeCell ref="H13:H14"/>
  </mergeCells>
  <printOptions/>
  <pageMargins left="0.25" right="0.25" top="0.75" bottom="0.75" header="0.3" footer="0.3"/>
  <pageSetup horizontalDpi="600" verticalDpi="600" orientation="portrait" paperSize="9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cp:lastPrinted>2016-01-27T08:23:19Z</cp:lastPrinted>
  <dcterms:created xsi:type="dcterms:W3CDTF">2015-04-15T07:16:59Z</dcterms:created>
  <dcterms:modified xsi:type="dcterms:W3CDTF">2016-01-27T08:23:46Z</dcterms:modified>
  <cp:category/>
  <cp:version/>
  <cp:contentType/>
  <cp:contentStatus/>
</cp:coreProperties>
</file>